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media/image6.png" ContentType="image/png"/>
  <Override PartName="/xl/media/image3.png" ContentType="image/png"/>
  <Override PartName="/xl/media/image10.jpeg" ContentType="image/jpeg"/>
  <Override PartName="/xl/media/image4.png" ContentType="image/png"/>
  <Override PartName="/xl/media/image7.jpeg" ContentType="image/jpeg"/>
  <Override PartName="/xl/media/image8.jpeg" ContentType="image/jpeg"/>
  <Override PartName="/xl/media/image1.png" ContentType="image/png"/>
  <Override PartName="/xl/media/image9.jpeg" ContentType="image/jpeg"/>
  <Override PartName="/xl/media/image5.png" ContentType="image/png"/>
  <Override PartName="/xl/media/image2.png" ContentType="image/png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503" windowHeight="8192" windowWidth="16384" xWindow="0" yWindow="0"/>
  </bookViews>
  <sheets>
    <sheet name="Auswertungen" sheetId="1" state="visible" r:id="rId2"/>
  </sheets>
  <definedNames>
    <definedName function="false" hidden="false" name="ATPat" vbProcedure="false">Auswertungen!$G$162:$G$198</definedName>
    <definedName function="false" hidden="false" name="ATTer" vbProcedure="false">Auswertungen!$H$162:$H$198</definedName>
    <definedName function="false" hidden="false" name="KFPat" vbProcedure="false">Auswertungen!$G$107:$G$136</definedName>
    <definedName function="false" hidden="false" name="KFTer" vbProcedure="false">Auswertungen!$H$107:$H$136</definedName>
    <definedName function="false" hidden="false" name="n" vbProcedure="false">Auswertungen!$G$81</definedName>
    <definedName function="false" hidden="false" name="UMPat" vbProcedure="false">Auswertungen!$G$224:$G$239</definedName>
    <definedName function="false" hidden="false" name="UMTer" vbProcedure="false">Auswertungen!$H$224:$H$239</definedName>
    <definedName function="false" hidden="false" name="UrlistePat" vbProcedure="false">Auswertungen!$D$8:$D$78</definedName>
    <definedName function="false" hidden="false" name="UrlisteTer" vbProcedure="false">Auswertungen!$E$8:$E$78</definedName>
    <definedName function="false" hidden="false" name="UWReihe2" vbProcedure="false">$auswertungen.$#REF!$#REF!:$#REF!$#REF!</definedName>
    <definedName function="false" hidden="false" name="UWReihe3" vbProcedure="false">$auswertungen.$#REF!$#REF!:$#REF!$#REF!</definedName>
    <definedName function="false" hidden="false" name="UWReihe4" vbProcedure="false">$auswertungen.$#REF!$#REF!:$#REF!$#REF!</definedName>
    <definedName function="false" hidden="false" name="Uxi" vbProcedure="false">Auswertungen!$D$539:$D$554</definedName>
    <definedName function="false" hidden="false" name="Uyi" vbProcedure="false">Auswertungen!$E$539:$E$554</definedName>
    <definedName function="false" hidden="false" name="x" vbProcedure="false">Auswertungen!$G$8:$G$78</definedName>
    <definedName function="false" hidden="false" name="xi" vbProcedure="false">Auswertungen!$D$461:$D$527</definedName>
    <definedName function="false" hidden="false" name="y" vbProcedure="false">Auswertungen!$H$8:$H$78</definedName>
    <definedName function="false" hidden="false" name="yi" vbProcedure="false">Auswertungen!$E$461:$E$527</definedName>
  </definedNames>
  <calcPr iterateCount="100" refMode="A1" iterate="false" iterateDelta="0.001"/>
</workbook>
</file>

<file path=xl/sharedStrings.xml><?xml version="1.0" encoding="utf-8"?>
<sst xmlns="http://schemas.openxmlformats.org/spreadsheetml/2006/main" count="561" uniqueCount="231">
  <si>
    <t>Urliste (Gesamt)</t>
  </si>
  <si>
    <t>Spearmans roh (ρ)</t>
  </si>
  <si>
    <t>i</t>
  </si>
  <si>
    <t>Code</t>
  </si>
  <si>
    <t>Beschreibung</t>
  </si>
  <si>
    <t>Person1</t>
  </si>
  <si>
    <t>Person2</t>
  </si>
  <si>
    <r>
      <t xml:space="preserve">x</t>
    </r>
    <r>
      <rPr>
        <b val="true"/>
        <vertAlign val="subscript"/>
        <sz val="10"/>
        <color rgb="FFFF0000"/>
        <rFont val="Arial"/>
        <family val="2"/>
      </rPr>
      <t xml:space="preserve">i</t>
    </r>
  </si>
  <si>
    <r>
      <t xml:space="preserve">y</t>
    </r>
    <r>
      <rPr>
        <b val="true"/>
        <vertAlign val="subscript"/>
        <sz val="10"/>
        <color rgb="FF0000FF"/>
        <rFont val="Arial"/>
        <family val="2"/>
      </rPr>
      <t xml:space="preserve">i</t>
    </r>
  </si>
  <si>
    <r>
      <t xml:space="preserve">R</t>
    </r>
    <r>
      <rPr>
        <b val="true"/>
        <vertAlign val="subscript"/>
        <sz val="10"/>
        <color rgb="FFFF0000"/>
        <rFont val="Arial"/>
        <family val="2"/>
      </rPr>
      <t xml:space="preserve">x</t>
    </r>
    <r>
      <rPr>
        <b val="true"/>
        <sz val="10"/>
        <color rgb="FFFF0000"/>
        <rFont val="Arial"/>
        <family val="2"/>
      </rPr>
      <t xml:space="preserve">(x</t>
    </r>
    <r>
      <rPr>
        <b val="true"/>
        <vertAlign val="subscript"/>
        <sz val="10"/>
        <color rgb="FFFF0000"/>
        <rFont val="Arial"/>
        <family val="2"/>
      </rPr>
      <t xml:space="preserve">i</t>
    </r>
    <r>
      <rPr>
        <b val="true"/>
        <sz val="10"/>
        <color rgb="FFFF0000"/>
        <rFont val="Arial"/>
        <family val="2"/>
      </rPr>
      <t xml:space="preserve">)</t>
    </r>
  </si>
  <si>
    <r>
      <t xml:space="preserve">R</t>
    </r>
    <r>
      <rPr>
        <b val="true"/>
        <vertAlign val="subscript"/>
        <sz val="10"/>
        <color rgb="FF0000FF"/>
        <rFont val="Arial"/>
        <family val="2"/>
      </rPr>
      <t xml:space="preserve">y</t>
    </r>
    <r>
      <rPr>
        <b val="true"/>
        <sz val="10"/>
        <color rgb="FF0000FF"/>
        <rFont val="Arial"/>
        <family val="2"/>
      </rPr>
      <t xml:space="preserve">(y</t>
    </r>
    <r>
      <rPr>
        <b val="true"/>
        <vertAlign val="subscript"/>
        <sz val="10"/>
        <color rgb="FF0000FF"/>
        <rFont val="Arial"/>
        <family val="2"/>
      </rPr>
      <t xml:space="preserve">i</t>
    </r>
    <r>
      <rPr>
        <b val="true"/>
        <sz val="10"/>
        <color rgb="FF0000FF"/>
        <rFont val="Arial"/>
        <family val="2"/>
      </rPr>
      <t xml:space="preserve">)</t>
    </r>
  </si>
  <si>
    <r>
      <t xml:space="preserve">R</t>
    </r>
    <r>
      <rPr>
        <b val="true"/>
        <vertAlign val="subscript"/>
        <sz val="10"/>
        <color rgb="FFFF0000"/>
        <rFont val="Arial"/>
        <family val="2"/>
      </rPr>
      <t xml:space="preserve">x</t>
    </r>
    <r>
      <rPr>
        <b val="true"/>
        <sz val="10"/>
        <color rgb="FFFF0000"/>
        <rFont val="Arial"/>
        <family val="2"/>
      </rPr>
      <t xml:space="preserve">(x</t>
    </r>
    <r>
      <rPr>
        <b val="true"/>
        <vertAlign val="subscript"/>
        <sz val="10"/>
        <color rgb="FFFF0000"/>
        <rFont val="Arial"/>
        <family val="2"/>
      </rPr>
      <t xml:space="preserve">i</t>
    </r>
    <r>
      <rPr>
        <b val="true"/>
        <sz val="10"/>
        <color rgb="FFFF0000"/>
        <rFont val="Arial"/>
        <family val="2"/>
      </rPr>
      <t xml:space="preserve">) </t>
    </r>
    <r>
      <rPr>
        <b val="true"/>
        <sz val="10"/>
        <color rgb="FF0000FF"/>
        <rFont val="Arial"/>
        <family val="2"/>
      </rPr>
      <t xml:space="preserve">R</t>
    </r>
    <r>
      <rPr>
        <b val="true"/>
        <vertAlign val="subscript"/>
        <sz val="10"/>
        <color rgb="FF0000FF"/>
        <rFont val="Arial"/>
        <family val="2"/>
      </rPr>
      <t xml:space="preserve">y</t>
    </r>
    <r>
      <rPr>
        <b val="true"/>
        <sz val="10"/>
        <color rgb="FF0000FF"/>
        <rFont val="Arial"/>
        <family val="2"/>
      </rPr>
      <t xml:space="preserve">(y</t>
    </r>
    <r>
      <rPr>
        <b val="true"/>
        <vertAlign val="subscript"/>
        <sz val="10"/>
        <color rgb="FF0000FF"/>
        <rFont val="Arial"/>
        <family val="2"/>
      </rPr>
      <t xml:space="preserve">i</t>
    </r>
    <r>
      <rPr>
        <b val="true"/>
        <sz val="10"/>
        <color rgb="FF0000FF"/>
        <rFont val="Arial"/>
        <family val="2"/>
      </rPr>
      <t xml:space="preserve">)</t>
    </r>
  </si>
  <si>
    <r>
      <t xml:space="preserve">R</t>
    </r>
    <r>
      <rPr>
        <b val="true"/>
        <vertAlign val="subscript"/>
        <sz val="10"/>
        <color rgb="FFFF0000"/>
        <rFont val="Arial"/>
        <family val="2"/>
      </rPr>
      <t xml:space="preserve">x</t>
    </r>
    <r>
      <rPr>
        <b val="true"/>
        <sz val="10"/>
        <color rgb="FFFF0000"/>
        <rFont val="Arial"/>
        <family val="2"/>
      </rPr>
      <t xml:space="preserve">(x</t>
    </r>
    <r>
      <rPr>
        <b val="true"/>
        <vertAlign val="subscript"/>
        <sz val="10"/>
        <color rgb="FFFF0000"/>
        <rFont val="Arial"/>
        <family val="2"/>
      </rPr>
      <t xml:space="preserve">i</t>
    </r>
    <r>
      <rPr>
        <b val="true"/>
        <sz val="10"/>
        <color rgb="FFFF0000"/>
        <rFont val="Arial"/>
        <family val="2"/>
      </rPr>
      <t xml:space="preserve">)</t>
    </r>
    <r>
      <rPr>
        <b val="true"/>
        <vertAlign val="superscript"/>
        <sz val="10"/>
        <color rgb="FFFF0000"/>
        <rFont val="Arial"/>
        <family val="2"/>
      </rPr>
      <t xml:space="preserve">2</t>
    </r>
  </si>
  <si>
    <r>
      <t xml:space="preserve">R</t>
    </r>
    <r>
      <rPr>
        <b val="true"/>
        <vertAlign val="subscript"/>
        <sz val="10"/>
        <color rgb="FF0000FF"/>
        <rFont val="Arial"/>
        <family val="2"/>
      </rPr>
      <t xml:space="preserve">y</t>
    </r>
    <r>
      <rPr>
        <b val="true"/>
        <sz val="10"/>
        <color rgb="FF0000FF"/>
        <rFont val="Arial"/>
        <family val="2"/>
      </rPr>
      <t xml:space="preserve">(y</t>
    </r>
    <r>
      <rPr>
        <b val="true"/>
        <vertAlign val="subscript"/>
        <sz val="10"/>
        <color rgb="FF0000FF"/>
        <rFont val="Arial"/>
        <family val="2"/>
      </rPr>
      <t xml:space="preserve">i</t>
    </r>
    <r>
      <rPr>
        <b val="true"/>
        <sz val="10"/>
        <color rgb="FF0000FF"/>
        <rFont val="Arial"/>
        <family val="2"/>
      </rPr>
      <t xml:space="preserve">)</t>
    </r>
    <r>
      <rPr>
        <b val="true"/>
        <vertAlign val="superscript"/>
        <sz val="10"/>
        <color rgb="FF0000FF"/>
        <rFont val="Arial"/>
        <family val="2"/>
      </rPr>
      <t xml:space="preserve">2</t>
    </r>
  </si>
  <si>
    <t>∑</t>
  </si>
  <si>
    <t>beantwortete Items insgesamt</t>
  </si>
  <si>
    <t>n=</t>
  </si>
  <si>
    <t>=</t>
  </si>
  <si>
    <t>Drei mal roh
 und drei
 Unterschiedliche
 Werte?
Hat jemand eine Idee?</t>
  </si>
  <si>
    <t>KORREL(RANG(x;x)+(ZÄHLENWENN(x;x)-1)/2; RANG(y;y)+(ZÄHLENWENN(y;y)-1)/2)</t>
  </si>
  <si>
    <t>KORREL(RANG(x;x)+(ANZAHL(x)+1-RANG(x;x)-RANG(x;x;1))/2; RANG(y;y)+(ANZAHL(y)+1-RANG(y;y)-RANG(y;y;1))/2)</t>
  </si>
  <si>
    <r>
      <t xml:space="preserve">aus: </t>
    </r>
    <r>
      <rPr>
        <b val="true"/>
        <sz val="8"/>
        <color rgb="FF0000FF"/>
        <rFont val="Arial"/>
        <family val="2"/>
      </rPr>
      <t xml:space="preserve">http://www.excel4managers.de/index.php?page=rxysp</t>
    </r>
  </si>
  <si>
    <t>gewichtetes Kappa</t>
  </si>
  <si>
    <t>(Wertepaaren ohne 8, 9 und keine Angaben)</t>
  </si>
  <si>
    <t>Therapeut</t>
  </si>
  <si>
    <t>Patient</t>
  </si>
  <si>
    <t>Rang(P)</t>
  </si>
  <si>
    <t>Rang(T)</t>
  </si>
  <si>
    <t>dif(P-T)</t>
  </si>
  <si>
    <t>dif²</t>
  </si>
  <si>
    <t>Summe </t>
  </si>
  <si>
    <t>fij = Häufigkeiten</t>
  </si>
  <si>
    <t>fij</t>
  </si>
  <si>
    <t>eij = ZeilenSummefij * SpaltenSummefij / N</t>
  </si>
  <si>
    <t>eij</t>
  </si>
  <si>
    <t>vij = Gewichtung</t>
  </si>
  <si>
    <t>vij</t>
  </si>
  <si>
    <t>0 – 0 =</t>
  </si>
  <si>
    <t>vij * fij</t>
  </si>
  <si>
    <t>0 - 1 =</t>
  </si>
  <si>
    <t>vij * eij</t>
  </si>
  <si>
    <t>0 - 2 = </t>
  </si>
  <si>
    <t>vij²</t>
  </si>
  <si>
    <t>0 - 3 = </t>
  </si>
  <si>
    <t>vij²*eij</t>
  </si>
  <si>
    <t>0 - 4 = </t>
  </si>
  <si>
    <t>Summe vij*fij</t>
  </si>
  <si>
    <t>Summe vij * eij</t>
  </si>
  <si>
    <t> </t>
  </si>
  <si>
    <t>1 - (Summe vij*fij) / (Summe vij*eij)</t>
  </si>
  <si>
    <t> = KW (gewichtetes Kappa)</t>
  </si>
  <si>
    <t>Summe vij²*eij</t>
  </si>
  <si>
    <t>Streuung </t>
  </si>
  <si>
    <r>
      <t xml:space="preserve">σ(K</t>
    </r>
    <r>
      <rPr>
        <vertAlign val="subscript"/>
        <sz val="10"/>
        <rFont val="Arial"/>
        <family val="2"/>
      </rPr>
      <t xml:space="preserve">W</t>
    </r>
    <r>
      <rPr>
        <sz val="10"/>
        <rFont val="Arial"/>
        <family val="2"/>
      </rPr>
      <t xml:space="preserve">)</t>
    </r>
  </si>
  <si>
    <t>U-Wert =</t>
  </si>
  <si>
    <r>
      <t xml:space="preserve">U-Wert = KW / σ(K</t>
    </r>
    <r>
      <rPr>
        <vertAlign val="subscript"/>
        <sz val="10"/>
        <rFont val="Arial"/>
        <family val="2"/>
      </rPr>
      <t xml:space="preserve">W</t>
    </r>
    <r>
      <rPr>
        <sz val="10"/>
        <rFont val="Arial"/>
        <family val="2"/>
      </rPr>
      <t xml:space="preserve">)</t>
    </r>
  </si>
  <si>
    <t>0</t>
  </si>
  <si>
    <t>∑dif²</t>
  </si>
  <si>
    <t>wenn Ausreiser (0-4 bzw. -4 +4 bei Umweltfaktorenauftreten, kann der Wert gegen 0 gedrückt werden auch wenn die anderen Werte übereinstimmen.)</t>
  </si>
  <si>
    <t>Summe fij</t>
  </si>
  <si>
    <t>d(P)</t>
  </si>
  <si>
    <t>d(T)</t>
  </si>
  <si>
    <t>dif</t>
  </si>
  <si>
    <t>3</t>
  </si>
  <si>
    <t>n =</t>
  </si>
  <si>
    <t>Sρ=</t>
  </si>
  <si>
    <t>-4</t>
  </si>
  <si>
    <t>Alle Items</t>
  </si>
  <si>
    <t> Körperfunktionen</t>
  </si>
  <si>
    <t>Umweltfaktoren</t>
  </si>
  <si>
    <t>Max. mögliche Übereinstummung </t>
  </si>
  <si>
    <t>Max. möglich Übereinstummung </t>
  </si>
  <si>
    <t>Aktivität und Teilhabe</t>
  </si>
  <si>
    <t>Anzahl Übereinstimmungen</t>
  </si>
  <si>
    <t>In Prozent</t>
  </si>
  <si>
    <t>Wh. für zufällige Übereinstimung </t>
  </si>
  <si>
    <t>Punkte</t>
  </si>
  <si>
    <t>Punkte Schädigung </t>
  </si>
  <si>
    <t>      Förderf. Barrieref.</t>
  </si>
  <si>
    <t> Differenz (-48 bis +48)</t>
  </si>
  <si>
    <t>Punkte Beeinträchtigung </t>
  </si>
  <si>
    <t>Körperfunktionen &amp; Aktivität und Teilhabe</t>
  </si>
  <si>
    <t>Rangkorrelation </t>
  </si>
  <si>
    <t>n (Max. 47)</t>
  </si>
  <si>
    <t>r</t>
  </si>
  <si>
    <t>z-Wert</t>
  </si>
  <si>
    <t>n (Max. 12)</t>
  </si>
  <si>
    <t>zur Orientierung</t>
  </si>
  <si>
    <t>r = 0</t>
  </si>
  <si>
    <t>keine</t>
  </si>
  <si>
    <t>Kendalls tau</t>
  </si>
  <si>
    <t>0 &gt; r &lt; 0,3</t>
  </si>
  <si>
    <t>schwach</t>
  </si>
  <si>
    <t>Kappa</t>
  </si>
  <si>
    <t>0,3 &lt; r &gt; 0,6</t>
  </si>
  <si>
    <t>mittel</t>
  </si>
  <si>
    <t>0,6 &lt; r &gt; 1</t>
  </si>
  <si>
    <t>stark</t>
  </si>
  <si>
    <t>r = 1</t>
  </si>
  <si>
    <t>Perfekt</t>
  </si>
  <si>
    <t>Für Spearmans roh müssten die Rohwerte eigentlich intervallskaliert oder eine Gleichabständigkeit der Ränge vorhanden sein (Bühner &amp; Ziegler,2009, S.615)</t>
  </si>
  <si>
    <t>Therap.</t>
  </si>
  <si>
    <t>beantwortete Items</t>
  </si>
  <si>
    <t>Punkte: Beeinträchtigung</t>
  </si>
  <si>
    <t>Punkte: Förder (+) / Barriere (-)</t>
  </si>
  <si>
    <t>Anzahl 0</t>
  </si>
  <si>
    <t>Anzahl -4</t>
  </si>
  <si>
    <t>Anzahl 1</t>
  </si>
  <si>
    <t>Anzahl -3</t>
  </si>
  <si>
    <t>Anzahl 2</t>
  </si>
  <si>
    <t>Anzahl -2</t>
  </si>
  <si>
    <t>Anzahl 3</t>
  </si>
  <si>
    <t>Anzahl -1</t>
  </si>
  <si>
    <t>Anzahl 4</t>
  </si>
  <si>
    <t>Modalwert</t>
  </si>
  <si>
    <t>Lokalisationsparameter</t>
  </si>
  <si>
    <t>Mittelwert </t>
  </si>
  <si>
    <t>Median</t>
  </si>
  <si>
    <t>Median für gehäufte Daten</t>
  </si>
  <si>
    <t>Dispersionsparameter</t>
  </si>
  <si>
    <t>1.Quartil</t>
  </si>
  <si>
    <t>3.Quartil</t>
  </si>
  <si>
    <t>(Streuung) mit. Quartilsabstand </t>
  </si>
  <si>
    <t>MIN</t>
  </si>
  <si>
    <t>MAX</t>
  </si>
  <si>
    <t>Spannweite</t>
  </si>
  <si>
    <t>Kurtosis </t>
  </si>
  <si>
    <t>Varianz</t>
  </si>
  <si>
    <t>Standardabweichung</t>
  </si>
  <si>
    <t>Diese Tabellen bilden die Grundlage für die Graphische auswertung</t>
  </si>
  <si>
    <t>absolute Häufigkeit</t>
  </si>
  <si>
    <t>Summe</t>
  </si>
  <si>
    <t>Mittelwert gewichtet</t>
  </si>
  <si>
    <t>Max mögliche Beeinträchtigungspunkte basierend auf der Anzahl gegebener Antworten</t>
  </si>
  <si>
    <t>Übereinstimmungen</t>
  </si>
  <si>
    <t>absolute kumulierte Häufigkeit</t>
  </si>
  <si>
    <t>relative Häufigkeit</t>
  </si>
  <si>
    <t>Max mögliche Punkte basierend auf der Anzahl gegebener Antworten</t>
  </si>
  <si>
    <t>Förder</t>
  </si>
  <si>
    <t>Barrier</t>
  </si>
  <si>
    <t>Diese Tabellen dienen als Zwischenritt für die Sortierung/Filterung zur weitere nBerechnung.</t>
  </si>
  <si>
    <t>Ereignisse</t>
  </si>
  <si>
    <t>e230</t>
  </si>
  <si>
    <t>Natürliche Ereignisse</t>
  </si>
  <si>
    <t>e235</t>
  </si>
  <si>
    <t>Vom Menschen verursachte Ereignisse</t>
  </si>
  <si>
    <t>Unterstützung und Beziehung</t>
  </si>
  <si>
    <t>e310</t>
  </si>
  <si>
    <t>Engster Fmilienkreis</t>
  </si>
  <si>
    <t>e315</t>
  </si>
  <si>
    <t>Erweiterter Familienkreis</t>
  </si>
  <si>
    <t>e320</t>
  </si>
  <si>
    <t>Freunde</t>
  </si>
  <si>
    <t>e325</t>
  </si>
  <si>
    <t>Bekannte, Peers, Kollegen, Nachbarn</t>
  </si>
  <si>
    <t>e330</t>
  </si>
  <si>
    <t>Autoritätspersonen</t>
  </si>
  <si>
    <t>e335</t>
  </si>
  <si>
    <t>Untergebene</t>
  </si>
  <si>
    <t>e340</t>
  </si>
  <si>
    <t>Persönliche Hilfs- und Pflegepersonen</t>
  </si>
  <si>
    <t>e350</t>
  </si>
  <si>
    <t>Domestizierte Tiere</t>
  </si>
  <si>
    <t>e355</t>
  </si>
  <si>
    <t>Fachleute und Gesundheitsberufe</t>
  </si>
  <si>
    <t>e360</t>
  </si>
  <si>
    <t>Andere Fachleute</t>
  </si>
  <si>
    <t>Einstellungen</t>
  </si>
  <si>
    <t>e460</t>
  </si>
  <si>
    <t>Gesellschaftliche Einstellungen</t>
  </si>
  <si>
    <t>Anzahl beantworteter items</t>
  </si>
  <si>
    <t>Anzahl verwertbarer Items</t>
  </si>
  <si>
    <t>Diese Tabelle dient als Zwischenritt für die Sortierung, um die obere Tab. Auszugeben.</t>
  </si>
  <si>
    <t>Barriere</t>
  </si>
  <si>
    <t>Förder </t>
  </si>
  <si>
    <t>In dieser Tabelle werden Items die nicht von Patient und Therapeut beurteilt werden aussortiert um Spermas Roh zu berechnen </t>
  </si>
  <si>
    <t>xi</t>
  </si>
  <si>
    <t>yi</t>
  </si>
  <si>
    <t>Rx(xi)</t>
  </si>
  <si>
    <t>Ry(yi)</t>
  </si>
  <si>
    <t>Rx(xi)RY(yi)</t>
  </si>
  <si>
    <t>Rx(xi)²</t>
  </si>
  <si>
    <t>Ry(yi)²</t>
  </si>
  <si>
    <t>q = n*(n+1)²/4 =</t>
  </si>
  <si>
    <t>SPxy</t>
  </si>
  <si>
    <t>z-WERT</t>
  </si>
  <si>
    <t>Uxi</t>
  </si>
  <si>
    <t>Uyi</t>
  </si>
  <si>
    <t>Rx(Uxi)</t>
  </si>
  <si>
    <t>Ry(Uyi)</t>
  </si>
  <si>
    <t>Rx(Uxi)RY(Uyi)</t>
  </si>
  <si>
    <t>Rx(Uxi)²</t>
  </si>
  <si>
    <t>Ry(Uyi)²</t>
  </si>
  <si>
    <t>SP(Uxy)</t>
  </si>
  <si>
    <t>Körperfunktionen und Aktivität und Teilhabe</t>
  </si>
  <si>
    <t>N=</t>
  </si>
  <si>
    <t>0 - 0 = 0</t>
  </si>
  <si>
    <t>0 - 1 = 0,25</t>
  </si>
  <si>
    <t>0 - 2 = 0,5</t>
  </si>
  <si>
    <t>0 - 3 = 0,75</t>
  </si>
  <si>
    <t>0 - 4 = 1</t>
  </si>
  <si>
    <t>z-Wert = KW / Streuung</t>
  </si>
  <si>
    <t>Cohens Kappa</t>
  </si>
  <si>
    <t>Körperfunktionen</t>
  </si>
  <si>
    <t>Fremd</t>
  </si>
  <si>
    <t>Selbst</t>
  </si>
  <si>
    <t>=n</t>
  </si>
  <si>
    <t>=na </t>
  </si>
  <si>
    <t>Whscheinlickeit</t>
  </si>
  <si>
    <t>=ns</t>
  </si>
  <si>
    <t>Po = na/n</t>
  </si>
  <si>
    <t>Pe </t>
  </si>
  <si>
    <t>Summe fürs Streuungsmaß</t>
  </si>
  <si>
    <t>Streuung</t>
  </si>
  <si>
    <t>Wurzel aus</t>
  </si>
  <si>
    <t>negatives Vorzeichen unter der wurzel!</t>
  </si>
  <si>
    <t>http://www.real-statistics.com/reliability/cohens-kappa/</t>
  </si>
  <si>
    <t>=na</t>
  </si>
  <si>
    <t>(9-3,94)/(18-3,94)</t>
  </si>
  <si>
    <t>Kendalls-tau- mit rangbindungen</t>
  </si>
  <si>
    <t>Patient(Ankerreihe)</t>
  </si>
  <si>
    <t>Therapeut(Vergleichsreihe)</t>
  </si>
  <si>
    <t>Rang</t>
  </si>
  <si>
    <t>Proversion</t>
  </si>
  <si>
    <t>Inversion</t>
  </si>
  <si>
    <t>sollten Makros ausgeschaltet sein:</t>
  </si>
  <si>
    <t>S =</t>
  </si>
  <si>
    <t>Daten sortieren -&gt; nach Spalte F (Sortieren für Kendalls Tau)</t>
  </si>
  <si>
    <t>tau</t>
  </si>
  <si>
    <t>tau = 2*S/(n*(n-1))</t>
  </si>
  <si>
    <t>Daten sortieren -&gt; nach Spalte A (ursprüngliche Reihe)</t>
  </si>
</sst>
</file>

<file path=xl/styles.xml><?xml version="1.0" encoding="utf-8"?>
<styleSheet xmlns="http://schemas.openxmlformats.org/spreadsheetml/2006/main">
  <numFmts count="11">
    <numFmt formatCode="GENERAL" numFmtId="164"/>
    <numFmt formatCode="0.00000" numFmtId="165"/>
    <numFmt formatCode="&quot;Za&quot;H\l" numFmtId="166"/>
    <numFmt formatCode="0" numFmtId="167"/>
    <numFmt formatCode="0.00" numFmtId="168"/>
    <numFmt formatCode="0.000" numFmtId="169"/>
    <numFmt formatCode="00.00" numFmtId="170"/>
    <numFmt formatCode="0.00%" numFmtId="171"/>
    <numFmt formatCode="0%" numFmtId="172"/>
    <numFmt formatCode="0.0000000" numFmtId="173"/>
    <numFmt formatCode="@" numFmtId="174"/>
  </numFmts>
  <fonts count="4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999999"/>
      <name val="Arial"/>
      <family val="2"/>
    </font>
    <font>
      <sz val="10"/>
      <color rgb="FFFFFFFF"/>
      <name val="Arial"/>
      <family val="2"/>
    </font>
    <font>
      <b val="true"/>
      <sz val="8"/>
      <name val="Arial"/>
      <family val="2"/>
    </font>
    <font>
      <b val="true"/>
      <sz val="10"/>
      <color rgb="FFFF0000"/>
      <name val="Arial"/>
      <family val="2"/>
    </font>
    <font>
      <b val="true"/>
      <sz val="10"/>
      <color rgb="FF0000FF"/>
      <name val="Arial"/>
      <family val="2"/>
    </font>
    <font>
      <b val="true"/>
      <vertAlign val="subscript"/>
      <sz val="10"/>
      <color rgb="FFFF0000"/>
      <name val="Arial"/>
      <family val="2"/>
    </font>
    <font>
      <b val="true"/>
      <vertAlign val="subscript"/>
      <sz val="10"/>
      <color rgb="FF0000FF"/>
      <name val="Arial"/>
      <family val="2"/>
    </font>
    <font>
      <b val="true"/>
      <vertAlign val="superscript"/>
      <sz val="10"/>
      <color rgb="FFFF0000"/>
      <name val="Arial"/>
      <family val="2"/>
    </font>
    <font>
      <b val="true"/>
      <vertAlign val="superscript"/>
      <sz val="10"/>
      <color rgb="FF0000FF"/>
      <name val="Arial"/>
      <family val="2"/>
    </font>
    <font>
      <b val="true"/>
      <sz val="10.5"/>
      <name val="Arial"/>
      <family val="2"/>
    </font>
    <font>
      <b val="true"/>
      <sz val="10"/>
      <name val="Arial"/>
      <family val="2"/>
    </font>
    <font>
      <b val="true"/>
      <sz val="8"/>
      <color rgb="FF0000FF"/>
      <name val="Arial"/>
      <family val="2"/>
    </font>
    <font>
      <b val="true"/>
      <sz val="10"/>
      <color rgb="FF000080"/>
      <name val="Arial"/>
      <family val="2"/>
    </font>
    <font>
      <sz val="8"/>
      <name val="Arial"/>
      <family val="2"/>
    </font>
    <font>
      <vertAlign val="subscript"/>
      <sz val="10"/>
      <name val="Arial"/>
      <family val="2"/>
    </font>
    <font>
      <sz val="8"/>
      <color rgb="FF000000"/>
      <name val="Arial"/>
      <family val="2"/>
    </font>
    <font>
      <sz val="8"/>
      <color rgb="FF333333"/>
      <name val="Arial"/>
      <family val="2"/>
    </font>
    <font>
      <b val="true"/>
      <sz val="14"/>
      <name val="Arial"/>
      <family val="2"/>
    </font>
    <font>
      <b val="true"/>
      <sz val="12"/>
      <name val="Arial"/>
      <family val="2"/>
    </font>
    <font>
      <b val="true"/>
      <sz val="10"/>
      <color rgb="FF000000"/>
      <name val="Arial"/>
      <family val="2"/>
    </font>
    <font>
      <sz val="12"/>
      <name val="Arial"/>
      <family val="2"/>
    </font>
    <font>
      <b val="true"/>
      <sz val="10"/>
      <color rgb="FF0066CC"/>
      <name val="Arial"/>
      <family val="2"/>
    </font>
    <font>
      <sz val="10"/>
      <color rgb="FFFF0000"/>
      <name val="Arial"/>
      <family val="2"/>
    </font>
    <font>
      <sz val="10"/>
      <color rgb="FF003366"/>
      <name val="Arial"/>
      <family val="2"/>
    </font>
    <font>
      <b val="true"/>
      <sz val="10"/>
      <color rgb="FFFF3333"/>
      <name val="Arial"/>
      <family val="2"/>
    </font>
    <font>
      <b val="true"/>
      <sz val="10"/>
      <color rgb="FF00FF00"/>
      <name val="Arial"/>
      <family val="2"/>
    </font>
    <font>
      <b val="true"/>
      <sz val="10"/>
      <color rgb="FF00FF66"/>
      <name val="Arial"/>
      <family val="2"/>
    </font>
    <font>
      <b val="true"/>
      <sz val="10"/>
      <color rgb="FF333399"/>
      <name val="Arial"/>
      <family val="2"/>
    </font>
    <font>
      <sz val="10"/>
      <color rgb="FF000000"/>
      <name val="Arial"/>
      <family val="2"/>
    </font>
    <font>
      <sz val="10"/>
      <color rgb="FF333399"/>
      <name val="Arial"/>
      <family val="2"/>
    </font>
    <font>
      <sz val="8"/>
      <color rgb="FFFF0000"/>
      <name val="Calibri"/>
      <family val="2"/>
    </font>
    <font>
      <sz val="8"/>
      <color rgb="FF000000"/>
      <name val="Calibri"/>
      <family val="2"/>
    </font>
    <font>
      <b val="true"/>
      <sz val="8.5"/>
      <color rgb="FF000000"/>
      <name val="Arial"/>
      <family val="2"/>
    </font>
    <font>
      <b val="true"/>
      <sz val="8"/>
      <color rgb="FF000000"/>
      <name val="Arial"/>
      <family val="2"/>
    </font>
    <font>
      <sz val="6.75"/>
      <color rgb="FF000000"/>
      <name val="Arial"/>
      <family val="2"/>
    </font>
    <font>
      <b val="true"/>
      <sz val="8.25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999999"/>
        <bgColor rgb="FF969696"/>
      </patternFill>
    </fill>
    <fill>
      <patternFill patternType="solid">
        <fgColor rgb="FF808080"/>
        <bgColor rgb="FF969696"/>
      </patternFill>
    </fill>
    <fill>
      <patternFill patternType="solid">
        <fgColor rgb="FFC0C0C0"/>
        <bgColor rgb="FFDDDDDD"/>
      </patternFill>
    </fill>
    <fill>
      <patternFill patternType="solid">
        <fgColor rgb="FFEEEEEE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969696"/>
        <bgColor rgb="FF999999"/>
      </patternFill>
    </fill>
    <fill>
      <patternFill patternType="solid">
        <fgColor rgb="FFDDDDDD"/>
        <bgColor rgb="FFEEEEEE"/>
      </patternFill>
    </fill>
    <fill>
      <patternFill patternType="solid">
        <fgColor rgb="FF99CC00"/>
        <bgColor rgb="FFFFCC00"/>
      </patternFill>
    </fill>
  </fills>
  <borders count="20">
    <border diagonalDown="false" diagonalUp="false">
      <left/>
      <right/>
      <top/>
      <bottom/>
      <diagonal/>
    </border>
    <border diagonalDown="false" diagonalUp="false">
      <left style="thin"/>
      <right style="thin"/>
      <top style="thin"/>
      <bottom style="thin"/>
      <diagonal/>
    </border>
    <border diagonalDown="false" diagonalUp="false">
      <left style="medium"/>
      <right style="medium"/>
      <top style="medium"/>
      <bottom style="medium"/>
      <diagonal/>
    </border>
    <border diagonalDown="false" diagonalUp="false">
      <left style="medium"/>
      <right style="medium"/>
      <top style="medium"/>
      <bottom/>
      <diagonal/>
    </border>
    <border diagonalDown="false" diagonalUp="false">
      <left style="medium"/>
      <right/>
      <top style="medium"/>
      <bottom style="medium"/>
      <diagonal/>
    </border>
    <border diagonalDown="false" diagonalUp="false">
      <left style="medium"/>
      <right style="medium"/>
      <top/>
      <bottom/>
      <diagonal/>
    </border>
    <border diagonalDown="false" diagonalUp="false">
      <left style="medium"/>
      <right style="medium"/>
      <top/>
      <bottom style="medium"/>
      <diagonal/>
    </border>
    <border diagonalDown="false" diagonalUp="false">
      <left/>
      <right style="medium"/>
      <top style="medium"/>
      <bottom style="medium"/>
      <diagonal/>
    </border>
    <border diagonalDown="false" diagonalUp="false">
      <left/>
      <right/>
      <top style="medium"/>
      <bottom style="medium"/>
      <diagonal/>
    </border>
    <border diagonalDown="false" diagonalUp="false">
      <left style="thin"/>
      <right/>
      <top style="thin"/>
      <bottom style="thin"/>
      <diagonal/>
    </border>
    <border diagonalDown="false" diagonalUp="false">
      <left/>
      <right style="thin"/>
      <top style="thin"/>
      <bottom style="thin"/>
      <diagonal/>
    </border>
    <border diagonalDown="false" diagonalUp="false">
      <left/>
      <right/>
      <top style="thin"/>
      <bottom style="thin"/>
      <diagonal/>
    </border>
    <border diagonalDown="false" diagonalUp="false">
      <left/>
      <right style="medium"/>
      <top/>
      <bottom style="medium"/>
      <diagonal/>
    </border>
    <border diagonalDown="false" diagonalUp="false">
      <left style="medium"/>
      <right/>
      <top/>
      <bottom style="medium"/>
      <diagonal/>
    </border>
    <border diagonalDown="false" diagonalUp="false">
      <left/>
      <right/>
      <top style="medium"/>
      <bottom/>
      <diagonal/>
    </border>
    <border diagonalDown="false" diagonalUp="false">
      <left/>
      <right style="medium"/>
      <top style="medium"/>
      <bottom/>
      <diagonal/>
    </border>
    <border diagonalDown="false" diagonalUp="false">
      <left style="medium"/>
      <right/>
      <top style="medium"/>
      <bottom/>
      <diagonal/>
    </border>
    <border diagonalDown="false" diagonalUp="false">
      <left style="medium"/>
      <right/>
      <top/>
      <bottom/>
      <diagonal/>
    </border>
    <border diagonalDown="false" diagonalUp="false">
      <left/>
      <right style="medium"/>
      <top/>
      <bottom/>
      <diagonal/>
    </border>
    <border diagonalDown="false" diagonalUp="false">
      <left/>
      <right/>
      <top/>
      <bottom style="medium"/>
      <diagonal/>
    </border>
  </borders>
  <cellStyleXfs count="6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2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0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0" fontId="4" numFmtId="164"/>
    <xf applyAlignment="false" applyBorder="false" applyFont="true" applyProtection="false" borderId="0" fillId="2" fontId="0" numFmtId="164"/>
    <xf applyAlignment="false" applyBorder="false" applyFont="true" applyProtection="false" borderId="0" fillId="0" fontId="5" numFmtId="164"/>
    <xf applyAlignment="false" applyBorder="false" applyFont="true" applyProtection="false" borderId="0" fillId="2" fontId="0" numFmtId="164"/>
    <xf applyAlignment="false" applyBorder="false" applyFont="true" applyProtection="false" borderId="0" fillId="0" fontId="0" numFmtId="164"/>
    <xf applyAlignment="false" applyBorder="false" applyFont="true" applyProtection="false" borderId="0" fillId="0" fontId="5" numFmtId="164"/>
    <xf applyAlignment="false" applyBorder="false" applyFont="true" applyProtection="false" borderId="0" fillId="0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0" fontId="5" numFmtId="164"/>
    <xf applyAlignment="false" applyBorder="false" applyFont="true" applyProtection="false" borderId="0" fillId="2" fontId="0" numFmtId="164"/>
    <xf applyAlignment="false" applyBorder="false" applyFont="true" applyProtection="false" borderId="0" fillId="0" fontId="5" numFmtId="164"/>
    <xf applyAlignment="false" applyBorder="false" applyFont="true" applyProtection="false" borderId="0" fillId="3" fontId="0" numFmtId="164"/>
    <xf applyAlignment="false" applyBorder="false" applyFont="true" applyProtection="false" borderId="0" fillId="0" fontId="5" numFmtId="164"/>
    <xf applyAlignment="false" applyBorder="false" applyFont="true" applyProtection="false" borderId="0" fillId="0" fontId="5" numFmtId="164"/>
    <xf applyAlignment="false" applyBorder="false" applyFont="true" applyProtection="false" borderId="0" fillId="0" fontId="0" numFmtId="164"/>
    <xf applyAlignment="false" applyBorder="false" applyFont="true" applyProtection="false" borderId="0" fillId="0" fontId="0" numFmtId="164"/>
    <xf applyAlignment="false" applyBorder="false" applyFont="true" applyProtection="false" borderId="0" fillId="0" fontId="5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4" numFmtId="164"/>
    <xf applyAlignment="false" applyBorder="false" applyFont="true" applyProtection="false" borderId="0" fillId="2" fontId="4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4" numFmtId="164"/>
    <xf applyAlignment="false" applyBorder="false" applyFont="true" applyProtection="false" borderId="0" fillId="0" fontId="5" numFmtId="164"/>
    <xf applyAlignment="false" applyBorder="false" applyFont="true" applyProtection="false" borderId="0" fillId="0" fontId="5" numFmtId="164"/>
    <xf applyAlignment="false" applyBorder="false" applyFont="true" applyProtection="false" borderId="0" fillId="0" fontId="5" numFmtId="164"/>
    <xf applyAlignment="false" applyBorder="false" applyFont="true" applyProtection="false" borderId="0" fillId="0" fontId="5" numFmtId="164"/>
    <xf applyAlignment="false" applyBorder="false" applyFont="true" applyProtection="false" borderId="0" fillId="0" fontId="5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2" fontId="0" numFmtId="164"/>
    <xf applyAlignment="false" applyBorder="false" applyFont="true" applyProtection="false" borderId="0" fillId="0" fontId="0" numFmtId="164"/>
  </cellStyleXfs>
  <cellXfs count="260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8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2" fillId="4" fontId="6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4" fontId="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5" fontId="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5" fontId="8" numFmtId="164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5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5" fontId="7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5" fontId="8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5" fontId="7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5" fontId="8" numFmtId="164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1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7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7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8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center" indent="0" shrinkToFit="false" textRotation="0" vertical="bottom" wrapText="tru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1" fillId="5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false" applyProtection="false" borderId="0" fillId="0" fontId="0" numFmtId="165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0" fillId="6" fontId="0" numFmtId="164" xfId="0">
      <alignment horizontal="left" indent="0" shrinkToFit="false" textRotation="0" vertical="bottom" wrapText="true"/>
      <protection hidden="false" locked="true"/>
    </xf>
    <xf applyAlignment="false" applyBorder="false" applyFont="false" applyProtection="false" borderId="0" fillId="6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6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3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5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7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4" fontId="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4" fontId="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4" fontId="8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1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4" fontId="1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17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6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3" fillId="0" fontId="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4" fillId="8" fontId="0" numFmtId="167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5" fillId="0" fontId="7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7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4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7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7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1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19" numFmtId="164" xfId="0">
      <alignment horizontal="general" indent="0" shrinkToFit="false" textRotation="0" vertical="center" wrapText="true"/>
      <protection hidden="false" locked="true"/>
    </xf>
    <xf applyAlignment="fals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7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20" numFmtId="164" xfId="0">
      <alignment horizontal="general" indent="0" shrinkToFit="false" textRotation="0" vertical="center" wrapText="true"/>
      <protection hidden="false" locked="true"/>
    </xf>
    <xf applyAlignment="false" applyBorder="true" applyFont="true" applyProtection="false" borderId="0" fillId="0" fontId="17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true"/>
      <protection hidden="false" locked="true"/>
    </xf>
    <xf applyAlignment="false" applyBorder="true" applyFont="false" applyProtection="false" borderId="5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1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4" fillId="0" fontId="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8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9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1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9" fillId="0" fontId="0" numFmtId="164" xfId="0">
      <alignment horizontal="left" indent="0" shrinkToFit="false" textRotation="0" vertical="bottom" wrapText="false"/>
      <protection hidden="false" locked="true"/>
    </xf>
    <xf applyAlignment="false" applyBorder="true" applyFont="false" applyProtection="false" borderId="11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" fillId="0" fontId="0" numFmtId="164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1" fillId="0" fontId="14" numFmtId="165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" fillId="0" fontId="6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4" fillId="0" fontId="0" numFmtId="164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7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2" fillId="4" fontId="0" numFmtId="167" xfId="0">
      <alignment horizontal="center" indent="0" shrinkToFit="false" textRotation="0" vertical="bottom" wrapText="false"/>
      <protection hidden="false" locked="true"/>
    </xf>
    <xf applyAlignment="false" applyBorder="true" applyFont="false" applyProtection="false" borderId="2" fillId="4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9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21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70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7" fontId="1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6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true" applyProtection="false" borderId="0" fillId="0" fontId="14" numFmtId="171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4" fillId="4" fontId="22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7" fillId="4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4" fillId="4" fontId="22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7" fillId="4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4" fontId="22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2" fillId="4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6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6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14" numFmtId="164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14" numFmtId="171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2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2" fillId="0" fontId="14" numFmtId="164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2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3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3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7" fillId="0" fontId="14" numFmtId="164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2" fillId="0" fontId="14" numFmtId="171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4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7" fillId="0" fontId="14" numFmtId="171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4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7" fillId="0" fontId="14" numFmtId="171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3" fillId="0" fontId="14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3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14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5" fillId="0" fontId="14" numFmtId="171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8" fillId="0" fontId="14" numFmtId="171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7" fillId="4" fontId="8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4" fontId="22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3" fillId="4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4" fillId="4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5" fillId="4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6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4" fontId="2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4" fontId="22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4" fontId="22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8" fillId="4" fontId="22" numFmtId="164" xfId="0">
      <alignment horizontal="left" indent="0" shrinkToFit="false" textRotation="0" vertical="bottom" wrapText="false"/>
      <protection hidden="false" locked="true"/>
    </xf>
    <xf applyAlignment="true" applyBorder="true" applyFont="true" applyProtection="false" borderId="7" fillId="4" fontId="22" numFmtId="164" xfId="0">
      <alignment horizontal="left" indent="0" shrinkToFit="false" textRotation="0" vertical="bottom" wrapText="false"/>
      <protection hidden="false" locked="true"/>
    </xf>
    <xf applyAlignment="false" applyBorder="true" applyFont="true" applyProtection="false" borderId="4" fillId="0" fontId="8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5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8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8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0" fontId="8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12" fillId="0" fontId="8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4" fillId="0" fontId="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7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0" fontId="7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7" fillId="0" fontId="7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0" fillId="0" fontId="7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7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7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2" fillId="7" fontId="22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7" fontId="7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7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7" fontId="22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4" fontId="14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4" fontId="14" numFmtId="164" xfId="0">
      <alignment horizontal="center" indent="0" shrinkToFit="false" textRotation="0" vertical="top" wrapText="false"/>
      <protection hidden="false" locked="true"/>
    </xf>
    <xf applyAlignment="false" applyBorder="true" applyFont="true" applyProtection="false" borderId="2" fillId="7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4" fontId="1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7" fillId="4" fontId="14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2" fillId="7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2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2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8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2" fillId="0" fontId="0" numFmtId="164" xfId="0">
      <alignment horizontal="center" indent="0" shrinkToFit="false" textRotation="0" vertical="center" wrapText="false"/>
      <protection hidden="false" locked="true"/>
    </xf>
    <xf applyAlignment="true" applyBorder="false" applyFont="false" applyProtection="false" borderId="0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16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5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7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8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4" xfId="0">
      <alignment horizontal="center" indent="0" shrinkToFit="false" textRotation="0" vertical="center" wrapText="false"/>
      <protection hidden="false" locked="true"/>
    </xf>
    <xf applyAlignment="true" applyBorder="true" applyFont="true" applyProtection="false" borderId="6" fillId="0" fontId="0" numFmtId="164" xfId="0">
      <alignment horizontal="center" indent="0" shrinkToFit="false" textRotation="0" vertical="center" wrapText="false"/>
      <protection hidden="false" locked="true"/>
    </xf>
    <xf applyAlignment="false" applyBorder="true" applyFont="tru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13" fillId="0" fontId="0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12" fillId="0" fontId="0" numFmtId="164" xfId="0">
      <alignment horizontal="center" indent="0" shrinkToFit="false" textRotation="0" vertical="bottom" wrapText="false"/>
      <protection hidden="false" locked="true"/>
    </xf>
    <xf applyAlignment="false" applyBorder="true" applyFont="true" applyProtection="false" borderId="2" fillId="0" fontId="7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8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6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7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7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6" fillId="0" fontId="8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6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7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7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8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7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7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5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8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8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7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8" numFmtId="168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8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7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9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8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9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3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9" numFmtId="168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8" numFmtId="172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7" numFmtId="172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0" fontId="29" numFmtId="172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4" xfId="0">
      <alignment horizontal="left" indent="0" shrinkToFit="false" textRotation="0" vertical="bottom" wrapText="false"/>
      <protection hidden="false" locked="true"/>
    </xf>
    <xf applyAlignment="false" applyBorder="true" applyFont="true" applyProtection="false" borderId="0" fillId="0" fontId="14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8" numFmtId="164" xfId="0">
      <alignment horizontal="general" indent="0" shrinkToFit="false" textRotation="0" vertical="bottom" wrapText="false"/>
      <protection hidden="false" locked="true"/>
    </xf>
    <xf applyAlignment="true" applyBorder="true" applyFont="false" applyProtection="false" borderId="0" fillId="0" fontId="0" numFmtId="167" xfId="0">
      <alignment horizontal="center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false" applyBorder="true" applyFont="true" applyProtection="false" borderId="3" fillId="0" fontId="29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29" numFmtId="172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4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8" numFmtId="164" xfId="0">
      <alignment horizontal="left" indent="0" shrinkToFit="false" textRotation="0" vertical="bottom" wrapText="false"/>
      <protection hidden="false" locked="true"/>
    </xf>
    <xf applyAlignment="true" applyBorder="true" applyFont="true" applyProtection="false" borderId="2" fillId="4" fontId="6" numFmtId="164" xfId="0">
      <alignment horizontal="general" indent="0" shrinkToFit="false" textRotation="0" vertical="bottom" wrapText="true"/>
      <protection hidden="false" locked="true"/>
    </xf>
    <xf applyAlignment="false" applyBorder="true" applyFont="true" applyProtection="false" borderId="2" fillId="0" fontId="31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8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8" fillId="0" fontId="0" numFmtId="164" xfId="0">
      <alignment horizontal="left" indent="0" shrinkToFit="false" textRotation="0" vertical="bottom" wrapText="false"/>
      <protection hidden="false" locked="true"/>
    </xf>
    <xf applyAlignment="false" applyBorder="true" applyFont="true" applyProtection="false" borderId="8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7" fontId="14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0" fillId="0" fontId="14" numFmtId="164" xfId="0">
      <alignment horizontal="center" indent="0" shrinkToFit="false" textRotation="0" vertical="bottom" wrapText="false"/>
      <protection hidden="false" locked="true"/>
    </xf>
    <xf applyAlignment="true" applyBorder="true" applyFont="false" applyProtection="false" borderId="2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2" fillId="0" fontId="6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2" fillId="0" fontId="32" numFmtId="164" xfId="0">
      <alignment horizontal="right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2" fillId="0" fontId="14" numFmtId="164" xfId="0">
      <alignment horizontal="right" indent="0" shrinkToFit="false" textRotation="0" vertical="bottom" wrapText="false"/>
      <protection hidden="false" locked="true"/>
    </xf>
    <xf applyAlignment="true" applyBorder="true" applyFont="true" applyProtection="false" borderId="0" fillId="0" fontId="6" numFmtId="164" xfId="0">
      <alignment horizontal="right" indent="0" shrinkToFit="false" textRotation="0" vertical="bottom" wrapText="false"/>
      <protection hidden="false" locked="true"/>
    </xf>
    <xf applyAlignment="false" applyBorder="true" applyFont="false" applyProtection="false" borderId="7" fillId="0" fontId="0" numFmtId="173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7" fillId="0" fontId="0" numFmtId="168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4" fillId="9" fontId="0" numFmtId="167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4" fillId="0" fontId="0" numFmtId="167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7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9" fontId="0" numFmtId="167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3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33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0" fillId="0" fontId="26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6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5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7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8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3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9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2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6" fontId="0" numFmtId="17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6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13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19" fillId="0" fontId="0" numFmtId="168" xfId="0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6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true" applyProtection="false" borderId="2" fillId="7" fontId="6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2" fillId="7" fontId="6" numFmtId="164" xfId="0">
      <alignment horizontal="center" indent="0" shrinkToFit="false" textRotation="0" vertical="bottom" wrapText="false"/>
      <protection hidden="false" locked="true"/>
    </xf>
    <xf applyAlignment="true" applyBorder="true" applyFont="true" applyProtection="false" borderId="2" fillId="0" fontId="34" numFmtId="164" xfId="0">
      <alignment horizontal="center" indent="0" shrinkToFit="false" textRotation="0" vertical="center" wrapText="true"/>
      <protection hidden="false" locked="true"/>
    </xf>
    <xf applyAlignment="false" applyBorder="true" applyFont="false" applyProtection="false" borderId="4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4" xfId="0">
      <alignment horizontal="general" indent="0" shrinkToFit="false" textRotation="0" vertical="bottom" wrapText="false"/>
      <protection hidden="false" locked="true"/>
    </xf>
    <xf applyAlignment="false" applyBorder="true" applyFont="false" applyProtection="false" borderId="2" fillId="0" fontId="0" numFmtId="164" xfId="0">
      <alignment horizontal="general" indent="0" shrinkToFit="false" textRotation="0" vertical="bottom" wrapText="false"/>
      <protection hidden="false" locked="true"/>
    </xf>
    <xf applyAlignment="true" applyBorder="true" applyFont="true" applyProtection="false" borderId="0" fillId="0" fontId="34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0" fillId="0" fontId="19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0" fillId="0" fontId="35" numFmtId="164" xfId="0">
      <alignment horizontal="center" indent="0" shrinkToFit="false" textRotation="0" vertical="center" wrapText="true"/>
      <protection hidden="false" locked="true"/>
    </xf>
    <xf applyAlignment="true" applyBorder="true" applyFont="true" applyProtection="false" borderId="0" fillId="0" fontId="20" numFmtId="164" xfId="0">
      <alignment horizontal="center" indent="0" shrinkToFit="false" textRotation="0" vertical="center" wrapText="true"/>
      <protection hidden="false" locked="true"/>
    </xf>
  </cellXfs>
  <cellStyles count="4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Standard 2" xfId="20"/>
    <cellStyle builtinId="54" customBuiltin="true" name="Unbenannt1" xfId="21"/>
    <cellStyle builtinId="54" customBuiltin="true" name="Unbenannt2" xfId="22"/>
    <cellStyle builtinId="54" customBuiltin="true" name="Unbenannt3" xfId="23"/>
    <cellStyle builtinId="54" customBuiltin="true" name="Unbenannt4" xfId="24"/>
    <cellStyle builtinId="54" customBuiltin="true" name="Unbenannt5" xfId="25"/>
    <cellStyle builtinId="54" customBuiltin="true" name="Unbenannt6" xfId="26"/>
    <cellStyle builtinId="54" customBuiltin="true" name="Unbenannt7" xfId="27"/>
    <cellStyle builtinId="54" customBuiltin="true" name="Unbenannt8" xfId="28"/>
    <cellStyle builtinId="54" customBuiltin="true" name="Unbenannt9" xfId="29"/>
    <cellStyle builtinId="54" customBuiltin="true" name="Unbenannt10" xfId="30"/>
    <cellStyle builtinId="54" customBuiltin="true" name="Unbenannt11" xfId="31"/>
    <cellStyle builtinId="54" customBuiltin="true" name="Unbenannt12" xfId="32"/>
    <cellStyle builtinId="54" customBuiltin="true" name="Unbenannt13" xfId="33"/>
    <cellStyle builtinId="54" customBuiltin="true" name="Unbenannt14" xfId="34"/>
    <cellStyle builtinId="54" customBuiltin="true" name="Unbenannt15" xfId="35"/>
    <cellStyle builtinId="54" customBuiltin="true" name="Unbenannt16" xfId="36"/>
    <cellStyle builtinId="54" customBuiltin="true" name="Unbenannt17" xfId="37"/>
    <cellStyle builtinId="54" customBuiltin="true" name="Unbenannt18" xfId="38"/>
    <cellStyle builtinId="54" customBuiltin="true" name="Unbenannt21" xfId="39"/>
    <cellStyle builtinId="54" customBuiltin="true" name="Unbenannt22" xfId="40"/>
    <cellStyle builtinId="54" customBuiltin="true" name="Unbenannt23" xfId="41"/>
    <cellStyle builtinId="54" customBuiltin="true" name="Unbenannt24" xfId="42"/>
    <cellStyle builtinId="54" customBuiltin="true" name="Unbenannt25" xfId="43"/>
    <cellStyle builtinId="54" customBuiltin="true" name="Unbenannt26" xfId="44"/>
    <cellStyle builtinId="54" customBuiltin="true" name="Unbenannt27" xfId="45"/>
    <cellStyle builtinId="54" customBuiltin="true" name="Unbenannt28" xfId="46"/>
    <cellStyle builtinId="54" customBuiltin="true" name="Unbenannt19" xfId="47"/>
    <cellStyle builtinId="54" customBuiltin="true" name="Unbenannt20" xfId="48"/>
    <cellStyle builtinId="54" customBuiltin="true" name="Unbenannt29" xfId="49"/>
    <cellStyle builtinId="54" customBuiltin="true" name="Unbenannt30" xfId="50"/>
    <cellStyle builtinId="54" customBuiltin="true" name="Unbenannt31" xfId="51"/>
    <cellStyle builtinId="54" customBuiltin="true" name="Unbenannt32" xfId="52"/>
    <cellStyle builtinId="54" customBuiltin="true" name="Unbenannt33" xfId="53"/>
    <cellStyle builtinId="54" customBuiltin="true" name="Unbenannt34" xfId="54"/>
    <cellStyle builtinId="54" customBuiltin="true" name="Unbenannt35" xfId="55"/>
    <cellStyle builtinId="54" customBuiltin="true" name="Unbenannt36" xfId="56"/>
    <cellStyle builtinId="54" customBuiltin="true" name="Unbenannt37" xfId="57"/>
    <cellStyle builtinId="54" customBuiltin="true" name="Unbenannt38" xfId="58"/>
    <cellStyle builtinId="54" customBuiltin="true" name="Unbenannt39" xfId="59"/>
  </cellStyles>
  <dxfs count="15">
    <dxf>
      <fill>
        <patternFill>
          <bgColor rgb="FFFF0000"/>
        </patternFill>
      </fill>
    </dxf>
    <dxf/>
    <dxf/>
    <dxf>
      <fill>
        <patternFill>
          <bgColor rgb="FF0000FF"/>
        </patternFill>
      </fill>
    </dxf>
    <dxf>
      <fill>
        <patternFill>
          <bgColor rgb="00FFFFFF"/>
        </patternFill>
      </fill>
    </dxf>
    <dxf/>
    <dxf/>
    <dxf/>
    <dxf>
      <fill>
        <patternFill>
          <bgColor rgb="FFFF0000"/>
        </patternFill>
      </fill>
    </dxf>
    <dxf/>
    <dxf/>
    <dxf/>
    <dxf>
      <fill>
        <patternFill>
          <bgColor rgb="FF00FF00"/>
        </patternFill>
      </fill>
    </dxf>
    <dxf>
      <fill>
        <patternFill>
          <bgColor rgb="FFFF0000"/>
        </patternFill>
      </fill>
    </dxf>
    <dxf/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66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99"/>
      <rgbColor rgb="FF993366"/>
      <rgbColor rgb="FFEEEEEE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3333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b="1" sz="850">
                <a:solidFill>
                  <a:srgbClr val="000000"/>
                </a:solidFill>
              </a:rPr>
              <a:t>Aktivität und Teilhabe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Auswertungen!$C$323:$C$323</c:f>
              <c:strCache>
                <c:ptCount val="1"/>
                <c:pt idx="0">
                  <c:v>Therapeut</c:v>
                </c:pt>
              </c:strCache>
            </c:strRef>
          </c:tx>
          <c:spPr>
            <a:solidFill>
              <a:srgbClr val="0000ff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Auswertungen!$D$322:$H$322</c:f>
              <c:strCach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Auswertungen!$D$323:$H$323</c:f>
              <c:numCache>
                <c:formatCode>General</c:formatCod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numCache>
            </c:numRef>
          </c:val>
        </c:ser>
        <c:ser>
          <c:idx val="1"/>
          <c:order val="1"/>
          <c:tx>
            <c:strRef>
              <c:f>Auswertungen!$C$324:$C$324</c:f>
              <c:strCache>
                <c:ptCount val="1"/>
                <c:pt idx="0">
                  <c:v>Patient</c:v>
                </c:pt>
              </c:strCache>
            </c:strRef>
          </c:tx>
          <c:spPr>
            <a:solidFill>
              <a:srgbClr val="ff0000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Auswertungen!$D$322:$H$322</c:f>
              <c:strCach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Auswertungen!$D$324:$H$324</c:f>
              <c:numCache>
                <c:formatCode>General</c:formatCod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numCache>
            </c:numRef>
          </c:val>
        </c:ser>
        <c:ser>
          <c:idx val="2"/>
          <c:order val="2"/>
          <c:tx>
            <c:strRef>
              <c:f>Auswertungen!$C$325:$C$325</c:f>
              <c:strCache>
                <c:ptCount val="1"/>
                <c:pt idx="0">
                  <c:v>Übereinstimmungen</c:v>
                </c:pt>
              </c:strCache>
            </c:strRef>
          </c:tx>
          <c:spPr>
            <a:solidFill>
              <a:srgbClr val="00ff00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Auswertungen!$D$322:$H$322</c:f>
              <c:strCach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Auswertungen!$D$325:$H$325</c:f>
              <c:numCache>
                <c:formatCode>General</c:formatCod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numCache>
            </c:numRef>
          </c:val>
        </c:ser>
        <c:gapWidth val="150"/>
        <c:axId val="21614"/>
        <c:axId val="26945"/>
      </c:barChart>
      <c:catAx>
        <c:axId val="2161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b="1" sz="800">
                    <a:solidFill>
                      <a:srgbClr val="000000"/>
                    </a:solidFill>
                  </a:rPr>
                  <a:t>Grad der Beeinträchtigung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crossAx val="26945"/>
        <c:crossesAt val="0"/>
        <c:auto val="1"/>
        <c:lblAlgn val="ctr"/>
        <c:lblOffset val="100"/>
      </c:catAx>
      <c:valAx>
        <c:axId val="26945"/>
        <c:scaling>
          <c:orientation val="minMax"/>
        </c:scaling>
        <c:delete val="0"/>
        <c:axPos val="l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b="1" sz="800">
                    <a:solidFill>
                      <a:srgbClr val="000000"/>
                    </a:solidFill>
                  </a:rPr>
                  <a:t>Anzahl bewerteter Items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crossAx val="21614"/>
        <c:crossesAt val="1"/>
      </c:valAx>
      <c:spPr>
        <a:solidFill>
          <a:srgbClr val="c0c0c0"/>
        </a:solidFill>
        <a:ln w="12600">
          <a:solidFill>
            <a:srgbClr val="808080"/>
          </a:solidFill>
          <a:round/>
        </a:ln>
      </c:spPr>
    </c:plotArea>
    <c:legend>
      <c:spPr>
        <a:solidFill>
          <a:srgbClr val="ffffff"/>
        </a:solidFill>
        <a:ln>
          <a:solidFill>
            <a:srgbClr val="000000"/>
          </a:solidFill>
        </a:ln>
      </c:spPr>
    </c:legend>
    <c:plotVisOnly val="1"/>
  </c:chart>
  <c:spPr>
    <a:solidFill>
      <a:srgbClr val="ffffff"/>
    </a:solidFill>
    <a:ln>
      <a:solidFill>
        <a:srgbClr val="000000"/>
      </a:solidFill>
    </a:ln>
  </c:spPr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b="1" sz="825">
                <a:solidFill>
                  <a:srgbClr val="000000"/>
                </a:solidFill>
              </a:rPr>
              <a:t>Körperfunktionen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Auswertungen!$C$340:$C$340</c:f>
              <c:strCache>
                <c:ptCount val="1"/>
                <c:pt idx="0">
                  <c:v>Therapeut</c:v>
                </c:pt>
              </c:strCache>
            </c:strRef>
          </c:tx>
          <c:spPr>
            <a:solidFill>
              <a:srgbClr val="0000ff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Auswertungen!$D$339:$H$339</c:f>
              <c:strCach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Auswertungen!$D$340:$H$340</c:f>
              <c:numCache>
                <c:formatCode>General</c:formatCod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numCache>
            </c:numRef>
          </c:val>
        </c:ser>
        <c:ser>
          <c:idx val="1"/>
          <c:order val="1"/>
          <c:tx>
            <c:strRef>
              <c:f>Auswertungen!$C$341:$C$341</c:f>
              <c:strCache>
                <c:ptCount val="1"/>
                <c:pt idx="0">
                  <c:v>Patient</c:v>
                </c:pt>
              </c:strCache>
            </c:strRef>
          </c:tx>
          <c:spPr>
            <a:solidFill>
              <a:srgbClr val="ff0000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Auswertungen!$D$339:$H$339</c:f>
              <c:strCach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Auswertungen!$D$341:$H$341</c:f>
              <c:numCache>
                <c:formatCode>General</c:formatCod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numCache>
            </c:numRef>
          </c:val>
        </c:ser>
        <c:ser>
          <c:idx val="2"/>
          <c:order val="2"/>
          <c:tx>
            <c:strRef>
              <c:f>Auswertungen!$C$342:$C$342</c:f>
              <c:strCache>
                <c:ptCount val="1"/>
                <c:pt idx="0">
                  <c:v>Übereinstimmungen</c:v>
                </c:pt>
              </c:strCache>
            </c:strRef>
          </c:tx>
          <c:spPr>
            <a:solidFill>
              <a:srgbClr val="00ff00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Auswertungen!$D$339:$H$339</c:f>
              <c:strCache>
                <c:ptCount val="5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Auswertungen!$D$342:$H$342</c:f>
              <c:numCache>
                <c:formatCode>General</c:formatCode>
                <c:ptCount val="5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</c:numCache>
            </c:numRef>
          </c:val>
        </c:ser>
        <c:gapWidth val="150"/>
        <c:axId val="17655"/>
        <c:axId val="14387"/>
      </c:barChart>
      <c:catAx>
        <c:axId val="1765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b="1" sz="800">
                    <a:solidFill>
                      <a:srgbClr val="000000"/>
                    </a:solidFill>
                  </a:rPr>
                  <a:t>Grad der Beeinträchtigung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crossAx val="14387"/>
        <c:crossesAt val="0"/>
        <c:auto val="1"/>
        <c:lblAlgn val="ctr"/>
        <c:lblOffset val="100"/>
      </c:catAx>
      <c:valAx>
        <c:axId val="14387"/>
        <c:scaling>
          <c:orientation val="minMax"/>
        </c:scaling>
        <c:delete val="0"/>
        <c:axPos val="l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b="1" sz="800">
                    <a:solidFill>
                      <a:srgbClr val="000000"/>
                    </a:solidFill>
                  </a:rPr>
                  <a:t>Anzhal bewerteter Items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crossAx val="17655"/>
        <c:crossesAt val="1"/>
      </c:valAx>
      <c:spPr>
        <a:solidFill>
          <a:srgbClr val="c0c0c0"/>
        </a:solidFill>
        <a:ln w="12600">
          <a:solidFill>
            <a:srgbClr val="808080"/>
          </a:solidFill>
          <a:round/>
        </a:ln>
      </c:spPr>
    </c:plotArea>
    <c:legend>
      <c:spPr>
        <a:solidFill>
          <a:srgbClr val="ffffff"/>
        </a:solidFill>
        <a:ln>
          <a:solidFill>
            <a:srgbClr val="000000"/>
          </a:solidFill>
        </a:ln>
      </c:spPr>
    </c:legend>
    <c:plotVisOnly val="1"/>
  </c:chart>
  <c:spPr>
    <a:solidFill>
      <a:srgbClr val="ffffff"/>
    </a:solidFill>
    <a:ln>
      <a:solidFill>
        <a:srgbClr val="000000"/>
      </a:solidFill>
    </a:ln>
  </c:spPr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b="1" sz="825">
                <a:solidFill>
                  <a:srgbClr val="000000"/>
                </a:solidFill>
              </a:rPr>
              <a:t>Umweltfaktoren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Auswertungen!$C$357:$C$357</c:f>
              <c:strCache>
                <c:ptCount val="1"/>
                <c:pt idx="0">
                  <c:v>Therapeut</c:v>
                </c:pt>
              </c:strCache>
            </c:strRef>
          </c:tx>
          <c:spPr>
            <a:solidFill>
              <a:srgbClr val="0000ff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Auswertungen!$D$356:$L$356</c:f>
              <c:strCache>
                <c:ptCount val="9"/>
                <c:pt idx="0">
                  <c:v>-4</c:v>
                </c:pt>
                <c:pt idx="1">
                  <c:v>-3</c:v>
                </c:pt>
                <c:pt idx="2">
                  <c:v>-2</c:v>
                </c:pt>
                <c:pt idx="3">
                  <c:v>-1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/>
                </c:pt>
              </c:strCache>
            </c:strRef>
          </c:cat>
          <c:val>
            <c:numRef>
              <c:f>Auswertungen!$D$357:$L$357</c:f>
              <c:numCache>
                <c:formatCode>General</c:formatCode>
                <c:ptCount val="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>4</c:v>
                </c:pt>
              </c:numCache>
            </c:numRef>
          </c:val>
        </c:ser>
        <c:ser>
          <c:idx val="1"/>
          <c:order val="1"/>
          <c:tx>
            <c:strRef>
              <c:f>Auswertungen!$C$358:$C$358</c:f>
              <c:strCache>
                <c:ptCount val="1"/>
                <c:pt idx="0">
                  <c:v>Patient</c:v>
                </c:pt>
              </c:strCache>
            </c:strRef>
          </c:tx>
          <c:spPr>
            <a:solidFill>
              <a:srgbClr val="ff0000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Auswertungen!$D$356:$L$356</c:f>
              <c:strCache>
                <c:ptCount val="9"/>
                <c:pt idx="0">
                  <c:v>-4</c:v>
                </c:pt>
                <c:pt idx="1">
                  <c:v>-3</c:v>
                </c:pt>
                <c:pt idx="2">
                  <c:v>-2</c:v>
                </c:pt>
                <c:pt idx="3">
                  <c:v>-1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/>
                </c:pt>
              </c:strCache>
            </c:strRef>
          </c:cat>
          <c:val>
            <c:numRef>
              <c:f>Auswertungen!$D$358:$L$358</c:f>
              <c:numCache>
                <c:formatCode>General</c:formatCode>
                <c:ptCount val="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</c:numCache>
            </c:numRef>
          </c:val>
        </c:ser>
        <c:ser>
          <c:idx val="2"/>
          <c:order val="2"/>
          <c:tx>
            <c:strRef>
              <c:f>Auswertungen!$C$359:$C$359</c:f>
              <c:strCache>
                <c:ptCount val="1"/>
                <c:pt idx="0">
                  <c:v>Übereinstimmungen</c:v>
                </c:pt>
              </c:strCache>
            </c:strRef>
          </c:tx>
          <c:spPr>
            <a:solidFill>
              <a:srgbClr val="00ff00"/>
            </a:solidFill>
            <a:ln w="12600">
              <a:solidFill>
                <a:srgbClr val="000000"/>
              </a:solidFill>
              <a:round/>
            </a:ln>
          </c:spPr>
          <c:cat>
            <c:strRef>
              <c:f>Auswertungen!$D$356:$L$356</c:f>
              <c:strCache>
                <c:ptCount val="9"/>
                <c:pt idx="0">
                  <c:v>-4</c:v>
                </c:pt>
                <c:pt idx="1">
                  <c:v>-3</c:v>
                </c:pt>
                <c:pt idx="2">
                  <c:v>-2</c:v>
                </c:pt>
                <c:pt idx="3">
                  <c:v>-1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3</c:v>
                </c:pt>
                <c:pt idx="8">
                  <c:v/>
                </c:pt>
              </c:strCache>
            </c:strRef>
          </c:cat>
          <c:val>
            <c:numRef>
              <c:f>Auswertungen!$D$359:$L$359</c:f>
              <c:numCache>
                <c:formatCode>General</c:formatCode>
                <c:ptCount val="9"/>
                <c:pt idx="0">
                  <c:v/>
                </c:pt>
                <c:pt idx="1">
                  <c:v/>
                </c:pt>
                <c:pt idx="2">
                  <c:v/>
                </c:pt>
                <c:pt idx="3">
                  <c:v/>
                </c:pt>
                <c:pt idx="4">
                  <c:v/>
                </c:pt>
                <c:pt idx="5">
                  <c:v/>
                </c:pt>
                <c:pt idx="6">
                  <c:v/>
                </c:pt>
                <c:pt idx="7">
                  <c:v/>
                </c:pt>
                <c:pt idx="8">
                  <c:v/>
                </c:pt>
              </c:numCache>
            </c:numRef>
          </c:val>
        </c:ser>
        <c:gapWidth val="150"/>
        <c:axId val="3219"/>
        <c:axId val="424"/>
      </c:barChart>
      <c:catAx>
        <c:axId val="321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b="1" sz="800">
                    <a:solidFill>
                      <a:srgbClr val="000000"/>
                    </a:solidFill>
                  </a:rPr>
                  <a:t>Barriere und Förderfaktoren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crossAx val="424"/>
        <c:crossesAt val="0"/>
        <c:auto val="1"/>
        <c:lblAlgn val="ctr"/>
        <c:lblOffset val="100"/>
      </c:catAx>
      <c:valAx>
        <c:axId val="424"/>
        <c:scaling>
          <c:orientation val="minMax"/>
        </c:scaling>
        <c:delete val="0"/>
        <c:axPos val="l"/>
        <c:majorGridlines>
          <c:spPr>
            <a:ln>
              <a:solidFill>
                <a:srgbClr val="000000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b="1" sz="800">
                    <a:solidFill>
                      <a:srgbClr val="000000"/>
                    </a:solidFill>
                  </a:rPr>
                  <a:t>Anzhal bewerteter Items</a:t>
                </a:r>
              </a:p>
            </c:rich>
          </c:tx>
          <c:layout/>
        </c:title>
        <c:majorTickMark val="out"/>
        <c:minorTickMark val="none"/>
        <c:tickLblPos val="nextTo"/>
        <c:spPr>
          <a:ln>
            <a:solidFill>
              <a:srgbClr val="000000"/>
            </a:solidFill>
          </a:ln>
        </c:spPr>
        <c:crossAx val="3219"/>
        <c:crossesAt val="1"/>
      </c:valAx>
      <c:spPr>
        <a:solidFill>
          <a:srgbClr val="c0c0c0"/>
        </a:solidFill>
        <a:ln w="12600">
          <a:solidFill>
            <a:srgbClr val="808080"/>
          </a:solidFill>
          <a:round/>
        </a:ln>
      </c:spPr>
    </c:plotArea>
    <c:legend>
      <c:spPr>
        <a:solidFill>
          <a:srgbClr val="ffffff"/>
        </a:solidFill>
        <a:ln>
          <a:solidFill>
            <a:srgbClr val="000000"/>
          </a:solidFill>
        </a:ln>
      </c:spPr>
    </c:legend>
    <c:plotVisOnly val="1"/>
  </c:chart>
  <c:spPr>
    <a:solidFill>
      <a:srgbClr val="ffffff"/>
    </a:solidFill>
    <a:ln>
      <a:solidFill>
        <a:srgbClr val="000000"/>
      </a:solidFill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Relationship Id="rId4" Type="http://schemas.openxmlformats.org/officeDocument/2006/relationships/image" Target="../media/image1.png"/><Relationship Id="rId5" Type="http://schemas.openxmlformats.org/officeDocument/2006/relationships/image" Target="../media/image2.png"/><Relationship Id="rId6" Type="http://schemas.openxmlformats.org/officeDocument/2006/relationships/image" Target="../media/image3.png"/><Relationship Id="rId7" Type="http://schemas.openxmlformats.org/officeDocument/2006/relationships/image" Target="../media/image4.png"/><Relationship Id="rId8" Type="http://schemas.openxmlformats.org/officeDocument/2006/relationships/image" Target="../media/image5.png"/><Relationship Id="rId9" Type="http://schemas.openxmlformats.org/officeDocument/2006/relationships/image" Target="../media/image6.png"/><Relationship Id="rId10" Type="http://schemas.openxmlformats.org/officeDocument/2006/relationships/image" Target="../media/image7.jpeg"/><Relationship Id="rId11" Type="http://schemas.openxmlformats.org/officeDocument/2006/relationships/image" Target="../media/image8.jpeg"/><Relationship Id="rId12" Type="http://schemas.openxmlformats.org/officeDocument/2006/relationships/image" Target="../media/image9.jpeg"/><Relationship Id="rId13" Type="http://schemas.openxmlformats.org/officeDocument/2006/relationships/image" Target="../media/image10.jpeg"/>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twoCellAnchor editAs="oneCell">
    <xdr:from>
      <xdr:col>11</xdr:col>
      <xdr:colOff>552240</xdr:colOff>
      <xdr:row>146</xdr:row>
      <xdr:rowOff>360</xdr:rowOff>
    </xdr:from>
    <xdr:to>
      <xdr:col>20</xdr:col>
      <xdr:colOff>222120</xdr:colOff>
      <xdr:row>162</xdr:row>
      <xdr:rowOff>155880</xdr:rowOff>
    </xdr:to>
    <xdr:graphicFrame>
      <xdr:nvGraphicFramePr>
        <xdr:cNvPr id="0" name="Chart 1"/>
        <xdr:cNvGraphicFramePr/>
      </xdr:nvGraphicFramePr>
      <xdr:xfrm>
        <a:off x="9819360" y="25153920"/>
        <a:ext cx="4825800" cy="264456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125640</xdr:colOff>
      <xdr:row>146</xdr:row>
      <xdr:rowOff>360</xdr:rowOff>
    </xdr:from>
    <xdr:to>
      <xdr:col>11</xdr:col>
      <xdr:colOff>159840</xdr:colOff>
      <xdr:row>162</xdr:row>
      <xdr:rowOff>28440</xdr:rowOff>
    </xdr:to>
    <xdr:graphicFrame>
      <xdr:nvGraphicFramePr>
        <xdr:cNvPr id="1" name="Chart 2"/>
        <xdr:cNvGraphicFramePr/>
      </xdr:nvGraphicFramePr>
      <xdr:xfrm>
        <a:off x="469800" y="25153920"/>
        <a:ext cx="8957160" cy="25171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20</xdr:col>
      <xdr:colOff>528840</xdr:colOff>
      <xdr:row>147</xdr:row>
      <xdr:rowOff>1440</xdr:rowOff>
    </xdr:from>
    <xdr:to>
      <xdr:col>31</xdr:col>
      <xdr:colOff>316440</xdr:colOff>
      <xdr:row>162</xdr:row>
      <xdr:rowOff>144000</xdr:rowOff>
    </xdr:to>
    <xdr:graphicFrame>
      <xdr:nvGraphicFramePr>
        <xdr:cNvPr id="2" name="Chart 3"/>
        <xdr:cNvGraphicFramePr/>
      </xdr:nvGraphicFramePr>
      <xdr:xfrm>
        <a:off x="14951880" y="25310520"/>
        <a:ext cx="6984360" cy="247608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5</xdr:col>
      <xdr:colOff>301320</xdr:colOff>
      <xdr:row>541</xdr:row>
      <xdr:rowOff>14400</xdr:rowOff>
    </xdr:from>
    <xdr:to>
      <xdr:col>7</xdr:col>
      <xdr:colOff>313920</xdr:colOff>
      <xdr:row>543</xdr:row>
      <xdr:rowOff>129960</xdr:rowOff>
    </xdr:to>
    <xdr:pic>
      <xdr:nvPicPr>
        <xdr:cNvPr descr="" id="3" name="Grafik 15"/>
        <xdr:cNvPicPr/>
      </xdr:nvPicPr>
      <xdr:blipFill>
        <a:blip r:embed="rId4"/>
        <a:stretch>
          <a:fillRect/>
        </a:stretch>
      </xdr:blipFill>
      <xdr:spPr>
        <a:xfrm>
          <a:off x="4941000" y="84571560"/>
          <a:ext cx="1429920" cy="4050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301320</xdr:colOff>
      <xdr:row>568</xdr:row>
      <xdr:rowOff>14040</xdr:rowOff>
    </xdr:from>
    <xdr:to>
      <xdr:col>7</xdr:col>
      <xdr:colOff>329760</xdr:colOff>
      <xdr:row>570</xdr:row>
      <xdr:rowOff>132840</xdr:rowOff>
    </xdr:to>
    <xdr:pic>
      <xdr:nvPicPr>
        <xdr:cNvPr descr="" id="4" name="Grafik 16"/>
        <xdr:cNvPicPr/>
      </xdr:nvPicPr>
      <xdr:blipFill>
        <a:blip r:embed="rId5"/>
        <a:stretch>
          <a:fillRect/>
        </a:stretch>
      </xdr:blipFill>
      <xdr:spPr>
        <a:xfrm>
          <a:off x="4941000" y="88480080"/>
          <a:ext cx="1445760" cy="408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301320</xdr:colOff>
      <xdr:row>568</xdr:row>
      <xdr:rowOff>14040</xdr:rowOff>
    </xdr:from>
    <xdr:to>
      <xdr:col>7</xdr:col>
      <xdr:colOff>329760</xdr:colOff>
      <xdr:row>570</xdr:row>
      <xdr:rowOff>132840</xdr:rowOff>
    </xdr:to>
    <xdr:pic>
      <xdr:nvPicPr>
        <xdr:cNvPr descr="" id="5" name="Grafik 17"/>
        <xdr:cNvPicPr/>
      </xdr:nvPicPr>
      <xdr:blipFill>
        <a:blip r:embed="rId6"/>
        <a:stretch>
          <a:fillRect/>
        </a:stretch>
      </xdr:blipFill>
      <xdr:spPr>
        <a:xfrm>
          <a:off x="4941000" y="88480080"/>
          <a:ext cx="1445760" cy="4086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301320</xdr:colOff>
      <xdr:row>590</xdr:row>
      <xdr:rowOff>14760</xdr:rowOff>
    </xdr:from>
    <xdr:to>
      <xdr:col>7</xdr:col>
      <xdr:colOff>329760</xdr:colOff>
      <xdr:row>592</xdr:row>
      <xdr:rowOff>131040</xdr:rowOff>
    </xdr:to>
    <xdr:pic>
      <xdr:nvPicPr>
        <xdr:cNvPr descr="" id="6" name="Grafik 18"/>
        <xdr:cNvPicPr/>
      </xdr:nvPicPr>
      <xdr:blipFill>
        <a:blip r:embed="rId7"/>
        <a:stretch>
          <a:fillRect/>
        </a:stretch>
      </xdr:blipFill>
      <xdr:spPr>
        <a:xfrm>
          <a:off x="4941000" y="91666080"/>
          <a:ext cx="1445760" cy="405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301320</xdr:colOff>
      <xdr:row>590</xdr:row>
      <xdr:rowOff>14760</xdr:rowOff>
    </xdr:from>
    <xdr:to>
      <xdr:col>7</xdr:col>
      <xdr:colOff>329760</xdr:colOff>
      <xdr:row>592</xdr:row>
      <xdr:rowOff>131040</xdr:rowOff>
    </xdr:to>
    <xdr:pic>
      <xdr:nvPicPr>
        <xdr:cNvPr descr="" id="7" name="Grafik 19"/>
        <xdr:cNvPicPr/>
      </xdr:nvPicPr>
      <xdr:blipFill>
        <a:blip r:embed="rId8"/>
        <a:stretch>
          <a:fillRect/>
        </a:stretch>
      </xdr:blipFill>
      <xdr:spPr>
        <a:xfrm>
          <a:off x="4941000" y="91666080"/>
          <a:ext cx="1445760" cy="405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301320</xdr:colOff>
      <xdr:row>545</xdr:row>
      <xdr:rowOff>14040</xdr:rowOff>
    </xdr:from>
    <xdr:to>
      <xdr:col>7</xdr:col>
      <xdr:colOff>401400</xdr:colOff>
      <xdr:row>547</xdr:row>
      <xdr:rowOff>54720</xdr:rowOff>
    </xdr:to>
    <xdr:pic>
      <xdr:nvPicPr>
        <xdr:cNvPr descr="" id="8" name="Grafik 20"/>
        <xdr:cNvPicPr/>
      </xdr:nvPicPr>
      <xdr:blipFill>
        <a:blip r:embed="rId9"/>
        <a:stretch>
          <a:fillRect/>
        </a:stretch>
      </xdr:blipFill>
      <xdr:spPr>
        <a:xfrm>
          <a:off x="4941000" y="85150080"/>
          <a:ext cx="1517400" cy="3304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17</xdr:col>
      <xdr:colOff>258120</xdr:colOff>
      <xdr:row>4</xdr:row>
      <xdr:rowOff>39960</xdr:rowOff>
    </xdr:from>
    <xdr:to>
      <xdr:col>24</xdr:col>
      <xdr:colOff>114480</xdr:colOff>
      <xdr:row>19</xdr:row>
      <xdr:rowOff>37080</xdr:rowOff>
    </xdr:to>
    <xdr:pic>
      <xdr:nvPicPr>
        <xdr:cNvPr descr="" id="9" name="Grafik 1"/>
        <xdr:cNvPicPr/>
      </xdr:nvPicPr>
      <xdr:blipFill>
        <a:blip r:embed="rId10"/>
        <a:stretch>
          <a:fillRect/>
        </a:stretch>
      </xdr:blipFill>
      <xdr:spPr>
        <a:xfrm>
          <a:off x="12857040" y="690120"/>
          <a:ext cx="4259520" cy="24595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17</xdr:col>
      <xdr:colOff>262800</xdr:colOff>
      <xdr:row>19</xdr:row>
      <xdr:rowOff>38160</xdr:rowOff>
    </xdr:from>
    <xdr:to>
      <xdr:col>24</xdr:col>
      <xdr:colOff>117000</xdr:colOff>
      <xdr:row>23</xdr:row>
      <xdr:rowOff>56160</xdr:rowOff>
    </xdr:to>
    <xdr:pic>
      <xdr:nvPicPr>
        <xdr:cNvPr descr="" id="10" name="Grafik 3"/>
        <xdr:cNvPicPr/>
      </xdr:nvPicPr>
      <xdr:blipFill>
        <a:blip r:embed="rId11"/>
        <a:stretch>
          <a:fillRect/>
        </a:stretch>
      </xdr:blipFill>
      <xdr:spPr>
        <a:xfrm>
          <a:off x="12861720" y="3150720"/>
          <a:ext cx="4257360" cy="6681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7</xdr:col>
      <xdr:colOff>661680</xdr:colOff>
      <xdr:row>82</xdr:row>
      <xdr:rowOff>91440</xdr:rowOff>
    </xdr:from>
    <xdr:to>
      <xdr:col>8</xdr:col>
      <xdr:colOff>831600</xdr:colOff>
      <xdr:row>82</xdr:row>
      <xdr:rowOff>554400</xdr:rowOff>
    </xdr:to>
    <xdr:pic>
      <xdr:nvPicPr>
        <xdr:cNvPr descr="" id="11" name="Grafik 4"/>
        <xdr:cNvPicPr/>
      </xdr:nvPicPr>
      <xdr:blipFill>
        <a:blip r:embed="rId12"/>
        <a:stretch>
          <a:fillRect/>
        </a:stretch>
      </xdr:blipFill>
      <xdr:spPr>
        <a:xfrm>
          <a:off x="6718680" y="13445280"/>
          <a:ext cx="834120" cy="46296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1630800</xdr:colOff>
      <xdr:row>84</xdr:row>
      <xdr:rowOff>174960</xdr:rowOff>
    </xdr:from>
    <xdr:to>
      <xdr:col>8</xdr:col>
      <xdr:colOff>528480</xdr:colOff>
      <xdr:row>84</xdr:row>
      <xdr:rowOff>1146600</xdr:rowOff>
    </xdr:to>
    <xdr:pic>
      <xdr:nvPicPr>
        <xdr:cNvPr descr="" id="12" name="Grafik 5"/>
        <xdr:cNvPicPr/>
      </xdr:nvPicPr>
      <xdr:blipFill>
        <a:blip r:embed="rId13"/>
        <a:stretch>
          <a:fillRect/>
        </a:stretch>
      </xdr:blipFill>
      <xdr:spPr>
        <a:xfrm>
          <a:off x="2515320" y="14306760"/>
          <a:ext cx="4734360" cy="9716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excel4managers.de/index.php?page=rxysp" TargetMode="External"/><Relationship Id="rId2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P655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86" zoomScaleNormal="86" zoomScalePageLayoutView="100">
      <selection activeCell="D225" activeCellId="0" pane="topLeft" sqref="D225:E238"/>
    </sheetView>
  </sheetViews>
  <sheetFormatPr defaultRowHeight="11.4"/>
  <cols>
    <col collapsed="false" hidden="false" max="1" min="1" style="0" width="4.87755102040816"/>
    <col collapsed="false" hidden="false" max="2" min="2" style="0" width="7.65816326530612"/>
    <col collapsed="false" hidden="false" max="3" min="3" style="0" width="35.2959183673469"/>
    <col collapsed="false" hidden="false" max="4" min="4" style="0" width="8.4030612244898"/>
    <col collapsed="false" hidden="false" max="5" min="5" style="0" width="9.52040816326531"/>
    <col collapsed="false" hidden="false" max="6" min="6" style="0" width="10.0969387755102"/>
    <col collapsed="false" hidden="false" max="7" min="7" style="0" width="9.98979591836735"/>
    <col collapsed="false" hidden="false" max="8" min="8" style="0" width="9.41326530612245"/>
    <col collapsed="false" hidden="false" max="9" min="9" style="0" width="12.3214285714286"/>
    <col collapsed="false" hidden="false" max="10" min="10" style="0" width="12.3316326530612"/>
    <col collapsed="false" hidden="false" max="11" min="11" style="0" width="11.4285714285714"/>
    <col collapsed="false" hidden="false" max="12" min="12" style="0" width="8.17857142857143"/>
    <col collapsed="false" hidden="false" max="13" min="13" style="0" width="11.8163265306122"/>
    <col collapsed="false" hidden="false" max="14" min="14" style="0" width="6.5"/>
    <col collapsed="false" hidden="false" max="15" min="15" style="0" width="7.62244897959184"/>
    <col collapsed="false" hidden="false" max="16" min="16" style="0" width="6.04591836734694"/>
    <col collapsed="false" hidden="false" max="17" min="17" style="0" width="7.05612244897959"/>
    <col collapsed="false" hidden="false" max="18" min="18" style="0" width="8.65816326530612"/>
    <col collapsed="false" hidden="false" max="19" min="19" style="1" width="8.10204081632653"/>
    <col collapsed="false" hidden="false" max="20" min="20" style="0" width="9.0969387755102"/>
    <col collapsed="false" hidden="false" max="22" min="21" style="0" width="8.06122448979592"/>
    <col collapsed="false" hidden="false" max="23" min="23" style="0" width="13.0918367346939"/>
    <col collapsed="false" hidden="false" max="24" min="24" style="0" width="7.3265306122449"/>
    <col collapsed="false" hidden="false" max="25" min="25" style="0" width="30.265306122449"/>
    <col collapsed="false" hidden="false" max="27" min="26" style="0" width="5.65816326530612"/>
    <col collapsed="false" hidden="false" max="28" min="28" style="0" width="5.3265306122449"/>
    <col collapsed="false" hidden="false" max="29" min="29" style="0" width="7.87244897959184"/>
    <col collapsed="false" hidden="false" max="30" min="30" style="0" width="4.3265306122449"/>
    <col collapsed="false" hidden="false" max="31" min="31" style="0" width="6.3265306122449"/>
    <col collapsed="false" hidden="false" max="32" min="32" style="0" width="8.3265306122449"/>
    <col collapsed="false" hidden="false" max="1025" min="257" style="0" width="11.5204081632653"/>
  </cols>
  <sheetData>
    <row collapsed="false" customFormat="false" customHeight="true" hidden="false" ht="12.8" outlineLevel="0" r="1">
      <c r="B1" s="2"/>
      <c r="C1" s="3"/>
      <c r="D1" s="4"/>
      <c r="E1" s="5"/>
    </row>
    <row collapsed="false" customFormat="false" customHeight="true" hidden="false" ht="12.8" outlineLevel="0" r="2">
      <c r="B2" s="2"/>
      <c r="C2" s="3"/>
      <c r="D2" s="4"/>
      <c r="E2" s="5"/>
    </row>
    <row collapsed="false" customFormat="false" customHeight="true" hidden="false" ht="12.8" outlineLevel="0" r="3">
      <c r="B3" s="2"/>
      <c r="C3" s="3"/>
      <c r="D3" s="4"/>
      <c r="E3" s="5"/>
    </row>
    <row collapsed="false" customFormat="false" customHeight="true" hidden="false" ht="12.8" outlineLevel="0" r="4">
      <c r="B4" s="2"/>
      <c r="C4" s="3"/>
      <c r="D4" s="4"/>
      <c r="E4" s="5"/>
    </row>
    <row collapsed="false" customFormat="false" customHeight="true" hidden="false" ht="12.8" outlineLevel="0" r="5">
      <c r="B5" s="2"/>
      <c r="C5" s="3" t="s">
        <v>0</v>
      </c>
      <c r="D5" s="4"/>
      <c r="E5" s="5"/>
    </row>
    <row collapsed="false" customFormat="false" customHeight="true" hidden="false" ht="12.8" outlineLevel="0" r="6">
      <c r="B6" s="2"/>
      <c r="C6" s="3"/>
      <c r="D6" s="4"/>
      <c r="E6" s="5"/>
      <c r="G6" s="0" t="s">
        <v>1</v>
      </c>
    </row>
    <row collapsed="false" customFormat="false" customHeight="false" hidden="false" ht="14.7" outlineLevel="0" r="7">
      <c r="A7" s="6" t="s">
        <v>2</v>
      </c>
      <c r="B7" s="7" t="s">
        <v>3</v>
      </c>
      <c r="C7" s="8" t="s">
        <v>4</v>
      </c>
      <c r="D7" s="9" t="s">
        <v>5</v>
      </c>
      <c r="E7" s="10" t="s">
        <v>6</v>
      </c>
      <c r="F7" s="11"/>
      <c r="G7" s="12" t="s">
        <v>7</v>
      </c>
      <c r="H7" s="13" t="s">
        <v>8</v>
      </c>
      <c r="I7" s="14" t="s">
        <v>9</v>
      </c>
      <c r="J7" s="15" t="s">
        <v>10</v>
      </c>
      <c r="K7" s="14" t="s">
        <v>11</v>
      </c>
      <c r="L7" s="14" t="s">
        <v>12</v>
      </c>
      <c r="M7" s="15" t="s">
        <v>13</v>
      </c>
    </row>
    <row collapsed="false" customFormat="false" customHeight="true" hidden="false" ht="12.8" outlineLevel="0" r="8">
      <c r="A8" s="16" t="n">
        <v>1</v>
      </c>
      <c r="B8" s="17"/>
      <c r="D8" s="18" t="n">
        <v>3</v>
      </c>
      <c r="E8" s="19" t="n">
        <v>0</v>
      </c>
      <c r="G8" s="20" t="n">
        <f aca="false">IF(OR(D8="",E8="",VALUE(D8)&gt;4,VALUE(E8)&gt;4),"",IF(VALUE(D8)&lt;=4,VALUE(D8),""))</f>
        <v>3</v>
      </c>
      <c r="H8" s="20" t="n">
        <f aca="false">IF(OR(D8="",E8="",VALUE(D8)&gt;4,VALUE(E8)&gt;4),"",IF(VALUE(E8)&lt;=4,VALUE(E8),""))</f>
        <v>0</v>
      </c>
      <c r="I8" s="6" t="n">
        <f aca="false">IF(G8="",0,RANK(G8,x,1)+(COUNTIF(x,G8)-1)/2)</f>
        <v>42.5</v>
      </c>
      <c r="J8" s="6" t="n">
        <f aca="false">IF(H8="",0,RANK(H8,y,1)+(COUNTIF(y,H8)-1)/2)</f>
        <v>10.5</v>
      </c>
      <c r="K8" s="6" t="n">
        <f aca="false">I8*J8</f>
        <v>446.25</v>
      </c>
      <c r="L8" s="6" t="n">
        <f aca="false">I8^2</f>
        <v>1806.25</v>
      </c>
      <c r="M8" s="6" t="n">
        <f aca="false">J8^2</f>
        <v>110.25</v>
      </c>
    </row>
    <row collapsed="false" customFormat="false" customHeight="true" hidden="false" ht="12.8" outlineLevel="0" r="9">
      <c r="A9" s="16" t="n">
        <v>2</v>
      </c>
      <c r="B9" s="17"/>
      <c r="D9" s="18" t="n">
        <v>3</v>
      </c>
      <c r="E9" s="19" t="n">
        <v>9</v>
      </c>
      <c r="G9" s="20" t="n">
        <f aca="false">IF(OR(D9="",E9="",VALUE(D9)&gt;4,VALUE(E9)&gt;4),"",IF(VALUE(D9)&lt;=4,VALUE(D9),""))</f>
        <v>0</v>
      </c>
      <c r="H9" s="20" t="n">
        <f aca="false">IF(OR(D9="",E9="",VALUE(D9)&gt;4,VALUE(E9)&gt;4),"",IF(VALUE(E9)&lt;=4,VALUE(E9),""))</f>
        <v>0</v>
      </c>
      <c r="I9" s="6" t="n">
        <f aca="false">IF(G9="",0,RANK(G9,x,1)+(COUNTIF(x,G9)-1)/2)</f>
        <v>0</v>
      </c>
      <c r="J9" s="6" t="n">
        <f aca="false">IF(H9="",0,RANK(H9,y,1)+(COUNTIF(y,H9)-1)/2)</f>
        <v>0</v>
      </c>
      <c r="K9" s="6" t="n">
        <f aca="false">I9*J9</f>
        <v>0</v>
      </c>
      <c r="L9" s="6" t="n">
        <f aca="false">I9^2</f>
        <v>0</v>
      </c>
      <c r="M9" s="6" t="n">
        <f aca="false">J9^2</f>
        <v>0</v>
      </c>
    </row>
    <row collapsed="false" customFormat="false" customHeight="true" hidden="false" ht="12.8" outlineLevel="0" r="10">
      <c r="A10" s="16" t="n">
        <v>3</v>
      </c>
      <c r="B10" s="17"/>
      <c r="D10" s="18" t="n">
        <f aca="false">E10</f>
        <v>1</v>
      </c>
      <c r="E10" s="19" t="n">
        <v>1</v>
      </c>
      <c r="G10" s="20" t="n">
        <f aca="false">IF(OR(D10="",E10="",VALUE(D10)&gt;4,VALUE(E10)&gt;4),"",IF(VALUE(D10)&lt;=4,VALUE(D10),""))</f>
        <v>1</v>
      </c>
      <c r="H10" s="20" t="n">
        <f aca="false">IF(OR(D10="",E10="",VALUE(D10)&gt;4,VALUE(E10)&gt;4),"",IF(VALUE(E10)&lt;=4,VALUE(E10),""))</f>
        <v>1</v>
      </c>
      <c r="I10" s="6" t="n">
        <f aca="false">IF(G10="",0,RANK(G10,x,1)+(COUNTIF(x,G10)-1)/2)</f>
        <v>20</v>
      </c>
      <c r="J10" s="6" t="n">
        <f aca="false">IF(H10="",0,RANK(H10,y,1)+(COUNTIF(y,H10)-1)/2)</f>
        <v>20</v>
      </c>
      <c r="K10" s="6" t="n">
        <f aca="false">I10*J10</f>
        <v>400</v>
      </c>
      <c r="L10" s="6" t="n">
        <f aca="false">I10^2</f>
        <v>400</v>
      </c>
      <c r="M10" s="6" t="n">
        <f aca="false">J10^2</f>
        <v>400</v>
      </c>
    </row>
    <row collapsed="false" customFormat="false" customHeight="true" hidden="false" ht="12.8" outlineLevel="0" r="11">
      <c r="A11" s="16" t="n">
        <v>4</v>
      </c>
      <c r="B11" s="17"/>
      <c r="D11" s="18" t="n">
        <f aca="false">E11</f>
        <v>3</v>
      </c>
      <c r="E11" s="19" t="n">
        <v>3</v>
      </c>
      <c r="G11" s="20" t="n">
        <f aca="false">IF(OR(D11="",E11="",VALUE(D11)&gt;4,VALUE(E11)&gt;4),"",IF(VALUE(D11)&lt;=4,VALUE(D11),""))</f>
        <v>3</v>
      </c>
      <c r="H11" s="20" t="n">
        <f aca="false">IF(OR(D11="",E11="",VALUE(D11)&gt;4,VALUE(E11)&gt;4),"",IF(VALUE(E11)&lt;=4,VALUE(E11),""))</f>
        <v>3</v>
      </c>
      <c r="I11" s="6" t="n">
        <f aca="false">IF(G11="",0,RANK(G11,x,1)+(COUNTIF(x,G11)-1)/2)</f>
        <v>42.5</v>
      </c>
      <c r="J11" s="6" t="n">
        <f aca="false">IF(H11="",0,RANK(H11,y,1)+(COUNTIF(y,H11)-1)/2)</f>
        <v>45.5</v>
      </c>
      <c r="K11" s="6" t="n">
        <f aca="false">I11*J11</f>
        <v>1933.75</v>
      </c>
      <c r="L11" s="6" t="n">
        <f aca="false">I11^2</f>
        <v>1806.25</v>
      </c>
      <c r="M11" s="6" t="n">
        <f aca="false">J11^2</f>
        <v>2070.25</v>
      </c>
    </row>
    <row collapsed="false" customFormat="false" customHeight="true" hidden="false" ht="12.8" outlineLevel="0" r="12">
      <c r="A12" s="16" t="n">
        <v>5</v>
      </c>
      <c r="B12" s="17"/>
      <c r="D12" s="18" t="n">
        <v>4</v>
      </c>
      <c r="E12" s="19" t="n">
        <v>1</v>
      </c>
      <c r="G12" s="20" t="n">
        <f aca="false">IF(OR(D12="",E12="",VALUE(D12)&gt;4,VALUE(E12)&gt;4),"",IF(VALUE(D12)&lt;=4,VALUE(D12),""))</f>
        <v>4</v>
      </c>
      <c r="H12" s="20" t="n">
        <f aca="false">IF(OR(D12="",E12="",VALUE(D12)&gt;4,VALUE(E12)&gt;4),"",IF(VALUE(E12)&lt;=4,VALUE(E12),""))</f>
        <v>1</v>
      </c>
      <c r="I12" s="6" t="n">
        <f aca="false">IF(G12="",0,RANK(G12,x,1)+(COUNTIF(x,G12)-1)/2)</f>
        <v>56.5</v>
      </c>
      <c r="J12" s="6" t="n">
        <f aca="false">IF(H12="",0,RANK(H12,y,1)+(COUNTIF(y,H12)-1)/2)</f>
        <v>20</v>
      </c>
      <c r="K12" s="6" t="n">
        <f aca="false">I12*J12</f>
        <v>1130</v>
      </c>
      <c r="L12" s="6" t="n">
        <f aca="false">I12^2</f>
        <v>3192.25</v>
      </c>
      <c r="M12" s="6" t="n">
        <f aca="false">J12^2</f>
        <v>400</v>
      </c>
    </row>
    <row collapsed="false" customFormat="false" customHeight="true" hidden="false" ht="12.8" outlineLevel="0" r="13">
      <c r="A13" s="16" t="n">
        <v>6</v>
      </c>
      <c r="B13" s="17"/>
      <c r="D13" s="18" t="n">
        <v>2</v>
      </c>
      <c r="E13" s="19" t="n">
        <v>0</v>
      </c>
      <c r="G13" s="20" t="n">
        <f aca="false">IF(OR(D13="",E13="",VALUE(D13)&gt;4,VALUE(E13)&gt;4),"",IF(VALUE(D13)&lt;=4,VALUE(D13),""))</f>
        <v>2</v>
      </c>
      <c r="H13" s="20" t="n">
        <f aca="false">IF(OR(D13="",E13="",VALUE(D13)&gt;4,VALUE(E13)&gt;4),"",IF(VALUE(E13)&lt;=4,VALUE(E13),""))</f>
        <v>0</v>
      </c>
      <c r="I13" s="6" t="n">
        <f aca="false">IF(G13="",0,RANK(G13,x,1)+(COUNTIF(x,G13)-1)/2)</f>
        <v>28.5</v>
      </c>
      <c r="J13" s="6" t="n">
        <f aca="false">IF(H13="",0,RANK(H13,y,1)+(COUNTIF(y,H13)-1)/2)</f>
        <v>10.5</v>
      </c>
      <c r="K13" s="6" t="n">
        <f aca="false">I13*J13</f>
        <v>299.25</v>
      </c>
      <c r="L13" s="6" t="n">
        <f aca="false">I13^2</f>
        <v>812.25</v>
      </c>
      <c r="M13" s="6" t="n">
        <f aca="false">J13^2</f>
        <v>110.25</v>
      </c>
    </row>
    <row collapsed="false" customFormat="false" customHeight="true" hidden="false" ht="12.8" outlineLevel="0" r="14">
      <c r="A14" s="16" t="n">
        <v>7</v>
      </c>
      <c r="B14" s="17"/>
      <c r="D14" s="18" t="n">
        <f aca="false">E14</f>
        <v>0</v>
      </c>
      <c r="E14" s="19" t="n">
        <v>0</v>
      </c>
      <c r="G14" s="20" t="n">
        <f aca="false">IF(OR(D14="",E14="",VALUE(D14)&gt;4,VALUE(E14)&gt;4),"",IF(VALUE(D14)&lt;=4,VALUE(D14),""))</f>
        <v>0</v>
      </c>
      <c r="H14" s="20" t="n">
        <f aca="false">IF(OR(D14="",E14="",VALUE(D14)&gt;4,VALUE(E14)&gt;4),"",IF(VALUE(E14)&lt;=4,VALUE(E14),""))</f>
        <v>0</v>
      </c>
      <c r="I14" s="6" t="n">
        <f aca="false">IF(G14="",0,RANK(G14,x,1)+(COUNTIF(x,G14)-1)/2)</f>
        <v>11</v>
      </c>
      <c r="J14" s="6" t="n">
        <f aca="false">IF(H14="",0,RANK(H14,y,1)+(COUNTIF(y,H14)-1)/2)</f>
        <v>10.5</v>
      </c>
      <c r="K14" s="6" t="n">
        <f aca="false">I14*J14</f>
        <v>115.5</v>
      </c>
      <c r="L14" s="6" t="n">
        <f aca="false">I14^2</f>
        <v>121</v>
      </c>
      <c r="M14" s="6" t="n">
        <f aca="false">J14^2</f>
        <v>110.25</v>
      </c>
    </row>
    <row collapsed="false" customFormat="false" customHeight="true" hidden="false" ht="12.8" outlineLevel="0" r="15">
      <c r="A15" s="16" t="n">
        <v>8</v>
      </c>
      <c r="B15" s="17"/>
      <c r="D15" s="18" t="n">
        <f aca="false">E15</f>
        <v>8</v>
      </c>
      <c r="E15" s="19" t="n">
        <v>8</v>
      </c>
      <c r="G15" s="20" t="n">
        <f aca="false">IF(OR(D15="",E15="",VALUE(D15)&gt;4,VALUE(E15)&gt;4),"",IF(VALUE(D15)&lt;=4,VALUE(D15),""))</f>
        <v>0</v>
      </c>
      <c r="H15" s="20" t="n">
        <f aca="false">IF(OR(D15="",E15="",VALUE(D15)&gt;4,VALUE(E15)&gt;4),"",IF(VALUE(E15)&lt;=4,VALUE(E15),""))</f>
        <v>0</v>
      </c>
      <c r="I15" s="6" t="n">
        <f aca="false">IF(G15="",0,RANK(G15,x,1)+(COUNTIF(x,G15)-1)/2)</f>
        <v>0</v>
      </c>
      <c r="J15" s="6" t="n">
        <f aca="false">IF(H15="",0,RANK(H15,y,1)+(COUNTIF(y,H15)-1)/2)</f>
        <v>0</v>
      </c>
      <c r="K15" s="6" t="n">
        <f aca="false">I15*J15</f>
        <v>0</v>
      </c>
      <c r="L15" s="6" t="n">
        <f aca="false">I15^2</f>
        <v>0</v>
      </c>
      <c r="M15" s="6" t="n">
        <f aca="false">J15^2</f>
        <v>0</v>
      </c>
    </row>
    <row collapsed="false" customFormat="false" customHeight="true" hidden="false" ht="12.8" outlineLevel="0" r="16">
      <c r="A16" s="16" t="n">
        <v>9</v>
      </c>
      <c r="B16" s="17"/>
      <c r="D16" s="18" t="n">
        <v>2</v>
      </c>
      <c r="E16" s="19" t="n">
        <v>3</v>
      </c>
      <c r="G16" s="20" t="n">
        <f aca="false">IF(OR(D16="",E16="",VALUE(D16)&gt;4,VALUE(E16)&gt;4),"",IF(VALUE(D16)&lt;=4,VALUE(D16),""))</f>
        <v>2</v>
      </c>
      <c r="H16" s="20" t="n">
        <f aca="false">IF(OR(D16="",E16="",VALUE(D16)&gt;4,VALUE(E16)&gt;4),"",IF(VALUE(E16)&lt;=4,VALUE(E16),""))</f>
        <v>3</v>
      </c>
      <c r="I16" s="6" t="n">
        <f aca="false">IF(G16="",0,RANK(G16,x,1)+(COUNTIF(x,G16)-1)/2)</f>
        <v>28.5</v>
      </c>
      <c r="J16" s="6" t="n">
        <f aca="false">IF(H16="",0,RANK(H16,y,1)+(COUNTIF(y,H16)-1)/2)</f>
        <v>45.5</v>
      </c>
      <c r="K16" s="6" t="n">
        <f aca="false">I16*J16</f>
        <v>1296.75</v>
      </c>
      <c r="L16" s="6" t="n">
        <f aca="false">I16^2</f>
        <v>812.25</v>
      </c>
      <c r="M16" s="6" t="n">
        <f aca="false">J16^2</f>
        <v>2070.25</v>
      </c>
    </row>
    <row collapsed="false" customFormat="false" customHeight="true" hidden="false" ht="12.8" outlineLevel="0" r="17">
      <c r="A17" s="16" t="n">
        <v>10</v>
      </c>
      <c r="B17" s="17"/>
      <c r="D17" s="18" t="n">
        <f aca="false">E17</f>
        <v>4</v>
      </c>
      <c r="E17" s="19" t="n">
        <v>4</v>
      </c>
      <c r="G17" s="20" t="n">
        <f aca="false">IF(OR(D17="",E17="",VALUE(D17)&gt;4,VALUE(E17)&gt;4),"",IF(VALUE(D17)&lt;=4,VALUE(D17),""))</f>
        <v>4</v>
      </c>
      <c r="H17" s="20" t="n">
        <f aca="false">IF(OR(D17="",E17="",VALUE(D17)&gt;4,VALUE(E17)&gt;4),"",IF(VALUE(E17)&lt;=4,VALUE(E17),""))</f>
        <v>4</v>
      </c>
      <c r="I17" s="6" t="n">
        <f aca="false">IF(G17="",0,RANK(G17,x,1)+(COUNTIF(x,G17)-1)/2)</f>
        <v>56.5</v>
      </c>
      <c r="J17" s="6" t="n">
        <f aca="false">IF(H17="",0,RANK(H17,y,1)+(COUNTIF(y,H17)-1)/2)</f>
        <v>57</v>
      </c>
      <c r="K17" s="6" t="n">
        <f aca="false">I17*J17</f>
        <v>3220.5</v>
      </c>
      <c r="L17" s="6" t="n">
        <f aca="false">I17^2</f>
        <v>3192.25</v>
      </c>
      <c r="M17" s="6" t="n">
        <f aca="false">J17^2</f>
        <v>3249</v>
      </c>
    </row>
    <row collapsed="false" customFormat="false" customHeight="true" hidden="false" ht="12.8" outlineLevel="0" r="18">
      <c r="A18" s="16" t="n">
        <v>11</v>
      </c>
      <c r="B18" s="17"/>
      <c r="D18" s="18" t="n">
        <f aca="false">E18</f>
        <v>0</v>
      </c>
      <c r="E18" s="19" t="n">
        <v>0</v>
      </c>
      <c r="G18" s="20" t="n">
        <f aca="false">IF(OR(D18="",E18="",VALUE(D18)&gt;4,VALUE(E18)&gt;4),"",IF(VALUE(D18)&lt;=4,VALUE(D18),""))</f>
        <v>0</v>
      </c>
      <c r="H18" s="20" t="n">
        <f aca="false">IF(OR(D18="",E18="",VALUE(D18)&gt;4,VALUE(E18)&gt;4),"",IF(VALUE(E18)&lt;=4,VALUE(E18),""))</f>
        <v>0</v>
      </c>
      <c r="I18" s="6" t="n">
        <f aca="false">IF(G18="",0,RANK(G18,x,1)+(COUNTIF(x,G18)-1)/2)</f>
        <v>11</v>
      </c>
      <c r="J18" s="6" t="n">
        <f aca="false">IF(H18="",0,RANK(H18,y,1)+(COUNTIF(y,H18)-1)/2)</f>
        <v>10.5</v>
      </c>
      <c r="K18" s="6" t="n">
        <f aca="false">I18*J18</f>
        <v>115.5</v>
      </c>
      <c r="L18" s="6" t="n">
        <f aca="false">I18^2</f>
        <v>121</v>
      </c>
      <c r="M18" s="6" t="n">
        <f aca="false">J18^2</f>
        <v>110.25</v>
      </c>
    </row>
    <row collapsed="false" customFormat="false" customHeight="true" hidden="false" ht="12.8" outlineLevel="0" r="19">
      <c r="A19" s="16" t="n">
        <v>12</v>
      </c>
      <c r="B19" s="17"/>
      <c r="D19" s="18" t="n">
        <v>3</v>
      </c>
      <c r="E19" s="19" t="n">
        <v>4</v>
      </c>
      <c r="G19" s="20" t="n">
        <f aca="false">IF(OR(D19="",E19="",VALUE(D19)&gt;4,VALUE(E19)&gt;4),"",IF(VALUE(D19)&lt;=4,VALUE(D19),""))</f>
        <v>3</v>
      </c>
      <c r="H19" s="20" t="n">
        <f aca="false">IF(OR(D19="",E19="",VALUE(D19)&gt;4,VALUE(E19)&gt;4),"",IF(VALUE(E19)&lt;=4,VALUE(E19),""))</f>
        <v>4</v>
      </c>
      <c r="I19" s="6" t="n">
        <f aca="false">IF(G19="",0,RANK(G19,x,1)+(COUNTIF(x,G19)-1)/2)</f>
        <v>42.5</v>
      </c>
      <c r="J19" s="6" t="n">
        <f aca="false">IF(H19="",0,RANK(H19,y,1)+(COUNTIF(y,H19)-1)/2)</f>
        <v>57</v>
      </c>
      <c r="K19" s="6" t="n">
        <f aca="false">I19*J19</f>
        <v>2422.5</v>
      </c>
      <c r="L19" s="6" t="n">
        <f aca="false">I19^2</f>
        <v>1806.25</v>
      </c>
      <c r="M19" s="6" t="n">
        <f aca="false">J19^2</f>
        <v>3249</v>
      </c>
    </row>
    <row collapsed="false" customFormat="false" customHeight="true" hidden="false" ht="12.8" outlineLevel="0" r="20">
      <c r="A20" s="16" t="n">
        <v>14</v>
      </c>
      <c r="B20" s="17"/>
      <c r="D20" s="18" t="n">
        <v>2</v>
      </c>
      <c r="E20" s="19" t="n">
        <v>4</v>
      </c>
      <c r="G20" s="20" t="n">
        <f aca="false">IF(OR(D20="",E20="",VALUE(D20)&gt;4,VALUE(E20)&gt;4),"",IF(VALUE(D20)&lt;=4,VALUE(D20),""))</f>
        <v>2</v>
      </c>
      <c r="H20" s="20" t="n">
        <f aca="false">IF(OR(D20="",E20="",VALUE(D20)&gt;4,VALUE(E20)&gt;4),"",IF(VALUE(E20)&lt;=4,VALUE(E20),""))</f>
        <v>4</v>
      </c>
      <c r="I20" s="6" t="n">
        <f aca="false">IF(G20="",0,RANK(G20,x,1)+(COUNTIF(x,G20)-1)/2)</f>
        <v>28.5</v>
      </c>
      <c r="J20" s="6" t="n">
        <f aca="false">IF(H20="",0,RANK(H20,y,1)+(COUNTIF(y,H20)-1)/2)</f>
        <v>57</v>
      </c>
      <c r="K20" s="6" t="n">
        <f aca="false">I20*J20</f>
        <v>1624.5</v>
      </c>
      <c r="L20" s="6" t="n">
        <f aca="false">I20^2</f>
        <v>812.25</v>
      </c>
      <c r="M20" s="6" t="n">
        <f aca="false">J20^2</f>
        <v>3249</v>
      </c>
    </row>
    <row collapsed="false" customFormat="false" customHeight="true" hidden="false" ht="12.8" outlineLevel="0" r="21">
      <c r="A21" s="16" t="n">
        <v>15</v>
      </c>
      <c r="B21" s="17"/>
      <c r="D21" s="18" t="n">
        <v>0</v>
      </c>
      <c r="E21" s="19" t="n">
        <v>8</v>
      </c>
      <c r="G21" s="20" t="n">
        <f aca="false">IF(OR(D21="",E21="",VALUE(D21)&gt;4,VALUE(E21)&gt;4),"",IF(VALUE(D21)&lt;=4,VALUE(D21),""))</f>
        <v>0</v>
      </c>
      <c r="H21" s="20" t="n">
        <f aca="false">IF(OR(D21="",E21="",VALUE(D21)&gt;4,VALUE(E21)&gt;4),"",IF(VALUE(E21)&lt;=4,VALUE(E21),""))</f>
        <v>0</v>
      </c>
      <c r="I21" s="6" t="n">
        <f aca="false">IF(G21="",0,RANK(G21,x,1)+(COUNTIF(x,G21)-1)/2)</f>
        <v>0</v>
      </c>
      <c r="J21" s="6" t="n">
        <f aca="false">IF(H21="",0,RANK(H21,y,1)+(COUNTIF(y,H21)-1)/2)</f>
        <v>0</v>
      </c>
      <c r="K21" s="6" t="n">
        <f aca="false">I21*J21</f>
        <v>0</v>
      </c>
      <c r="L21" s="6" t="n">
        <f aca="false">I21^2</f>
        <v>0</v>
      </c>
      <c r="M21" s="6" t="n">
        <f aca="false">J21^2</f>
        <v>0</v>
      </c>
    </row>
    <row collapsed="false" customFormat="false" customHeight="true" hidden="false" ht="12.8" outlineLevel="0" r="22">
      <c r="A22" s="16" t="n">
        <v>16</v>
      </c>
      <c r="B22" s="17"/>
      <c r="D22" s="18" t="n">
        <v>0</v>
      </c>
      <c r="E22" s="19" t="n">
        <v>8</v>
      </c>
      <c r="G22" s="20" t="n">
        <f aca="false">IF(OR(D22="",E22="",VALUE(D22)&gt;4,VALUE(E22)&gt;4),"",IF(VALUE(D22)&lt;=4,VALUE(D22),""))</f>
        <v>0</v>
      </c>
      <c r="H22" s="20" t="n">
        <f aca="false">IF(OR(D22="",E22="",VALUE(D22)&gt;4,VALUE(E22)&gt;4),"",IF(VALUE(E22)&lt;=4,VALUE(E22),""))</f>
        <v>0</v>
      </c>
      <c r="I22" s="6" t="n">
        <f aca="false">IF(G22="",0,RANK(G22,x,1)+(COUNTIF(x,G22)-1)/2)</f>
        <v>0</v>
      </c>
      <c r="J22" s="6" t="n">
        <f aca="false">IF(H22="",0,RANK(H22,y,1)+(COUNTIF(y,H22)-1)/2)</f>
        <v>0</v>
      </c>
      <c r="K22" s="6" t="n">
        <f aca="false">I22*J22</f>
        <v>0</v>
      </c>
      <c r="L22" s="6" t="n">
        <f aca="false">I22^2</f>
        <v>0</v>
      </c>
      <c r="M22" s="6" t="n">
        <f aca="false">J22^2</f>
        <v>0</v>
      </c>
    </row>
    <row collapsed="false" customFormat="false" customHeight="true" hidden="false" ht="12.8" outlineLevel="0" r="23">
      <c r="A23" s="16" t="n">
        <v>17</v>
      </c>
      <c r="B23" s="17"/>
      <c r="D23" s="18" t="n">
        <v>1</v>
      </c>
      <c r="E23" s="19" t="n">
        <v>4</v>
      </c>
      <c r="G23" s="20" t="n">
        <f aca="false">IF(OR(D23="",E23="",VALUE(D23)&gt;4,VALUE(E23)&gt;4),"",IF(VALUE(D23)&lt;=4,VALUE(D23),""))</f>
        <v>1</v>
      </c>
      <c r="H23" s="20" t="n">
        <f aca="false">IF(OR(D23="",E23="",VALUE(D23)&gt;4,VALUE(E23)&gt;4),"",IF(VALUE(E23)&lt;=4,VALUE(E23),""))</f>
        <v>4</v>
      </c>
      <c r="I23" s="6" t="n">
        <f aca="false">IF(G23="",0,RANK(G23,x,1)+(COUNTIF(x,G23)-1)/2)</f>
        <v>20</v>
      </c>
      <c r="J23" s="6" t="n">
        <f aca="false">IF(H23="",0,RANK(H23,y,1)+(COUNTIF(y,H23)-1)/2)</f>
        <v>57</v>
      </c>
      <c r="K23" s="6" t="n">
        <f aca="false">I23*J23</f>
        <v>1140</v>
      </c>
      <c r="L23" s="6" t="n">
        <f aca="false">I23^2</f>
        <v>400</v>
      </c>
      <c r="M23" s="6" t="n">
        <f aca="false">J23^2</f>
        <v>3249</v>
      </c>
    </row>
    <row collapsed="false" customFormat="false" customHeight="true" hidden="false" ht="12.8" outlineLevel="0" r="24">
      <c r="A24" s="16" t="n">
        <v>18</v>
      </c>
      <c r="B24" s="17"/>
      <c r="D24" s="18" t="n">
        <v>0</v>
      </c>
      <c r="E24" s="19" t="n">
        <v>3</v>
      </c>
      <c r="G24" s="20" t="n">
        <f aca="false">IF(OR(D24="",E24="",VALUE(D24)&gt;4,VALUE(E24)&gt;4),"",IF(VALUE(D24)&lt;=4,VALUE(D24),""))</f>
        <v>0</v>
      </c>
      <c r="H24" s="20" t="n">
        <f aca="false">IF(OR(D24="",E24="",VALUE(D24)&gt;4,VALUE(E24)&gt;4),"",IF(VALUE(E24)&lt;=4,VALUE(E24),""))</f>
        <v>3</v>
      </c>
      <c r="I24" s="6" t="n">
        <f aca="false">IF(G24="",0,RANK(G24,x,1)+(COUNTIF(x,G24)-1)/2)</f>
        <v>11</v>
      </c>
      <c r="J24" s="6" t="n">
        <f aca="false">IF(H24="",0,RANK(H24,y,1)+(COUNTIF(y,H24)-1)/2)</f>
        <v>45.5</v>
      </c>
      <c r="K24" s="6" t="n">
        <f aca="false">I24*J24</f>
        <v>500.5</v>
      </c>
      <c r="L24" s="6" t="n">
        <f aca="false">I24^2</f>
        <v>121</v>
      </c>
      <c r="M24" s="6" t="n">
        <f aca="false">J24^2</f>
        <v>2070.25</v>
      </c>
    </row>
    <row collapsed="false" customFormat="false" customHeight="true" hidden="false" ht="12.8" outlineLevel="0" r="25">
      <c r="A25" s="16" t="n">
        <v>19</v>
      </c>
      <c r="B25" s="17"/>
      <c r="D25" s="18" t="n">
        <v>2</v>
      </c>
      <c r="E25" s="19" t="n">
        <v>0</v>
      </c>
      <c r="G25" s="20" t="n">
        <f aca="false">IF(OR(D25="",E25="",VALUE(D25)&gt;4,VALUE(E25)&gt;4),"",IF(VALUE(D25)&lt;=4,VALUE(D25),""))</f>
        <v>2</v>
      </c>
      <c r="H25" s="20" t="n">
        <f aca="false">IF(OR(D25="",E25="",VALUE(D25)&gt;4,VALUE(E25)&gt;4),"",IF(VALUE(E25)&lt;=4,VALUE(E25),""))</f>
        <v>0</v>
      </c>
      <c r="I25" s="6" t="n">
        <f aca="false">IF(G25="",0,RANK(G25,x,1)+(COUNTIF(x,G25)-1)/2)</f>
        <v>28.5</v>
      </c>
      <c r="J25" s="6" t="n">
        <f aca="false">IF(H25="",0,RANK(H25,y,1)+(COUNTIF(y,H25)-1)/2)</f>
        <v>10.5</v>
      </c>
      <c r="K25" s="6" t="n">
        <f aca="false">I25*J25</f>
        <v>299.25</v>
      </c>
      <c r="L25" s="6" t="n">
        <f aca="false">I25^2</f>
        <v>812.25</v>
      </c>
      <c r="M25" s="6" t="n">
        <f aca="false">J25^2</f>
        <v>110.25</v>
      </c>
    </row>
    <row collapsed="false" customFormat="false" customHeight="true" hidden="false" ht="12.8" outlineLevel="0" r="26">
      <c r="A26" s="16" t="n">
        <v>20</v>
      </c>
      <c r="B26" s="17"/>
      <c r="D26" s="18" t="n">
        <v>3</v>
      </c>
      <c r="E26" s="19" t="n">
        <v>0</v>
      </c>
      <c r="G26" s="20" t="n">
        <f aca="false">IF(OR(D26="",E26="",VALUE(D26)&gt;4,VALUE(E26)&gt;4),"",IF(VALUE(D26)&lt;=4,VALUE(D26),""))</f>
        <v>3</v>
      </c>
      <c r="H26" s="20" t="n">
        <f aca="false">IF(OR(D26="",E26="",VALUE(D26)&gt;4,VALUE(E26)&gt;4),"",IF(VALUE(E26)&lt;=4,VALUE(E26),""))</f>
        <v>0</v>
      </c>
      <c r="I26" s="6" t="n">
        <f aca="false">IF(G26="",0,RANK(G26,x,1)+(COUNTIF(x,G26)-1)/2)</f>
        <v>42.5</v>
      </c>
      <c r="J26" s="6" t="n">
        <f aca="false">IF(H26="",0,RANK(H26,y,1)+(COUNTIF(y,H26)-1)/2)</f>
        <v>10.5</v>
      </c>
      <c r="K26" s="6" t="n">
        <f aca="false">I26*J26</f>
        <v>446.25</v>
      </c>
      <c r="L26" s="6" t="n">
        <f aca="false">I26^2</f>
        <v>1806.25</v>
      </c>
      <c r="M26" s="6" t="n">
        <f aca="false">J26^2</f>
        <v>110.25</v>
      </c>
    </row>
    <row collapsed="false" customFormat="false" customHeight="true" hidden="false" ht="12.8" outlineLevel="0" r="27">
      <c r="A27" s="16" t="n">
        <v>21</v>
      </c>
      <c r="B27" s="17"/>
      <c r="D27" s="18" t="n">
        <v>3</v>
      </c>
      <c r="E27" s="19" t="n">
        <v>1</v>
      </c>
      <c r="G27" s="20" t="n">
        <f aca="false">IF(OR(D27="",E27="",VALUE(D27)&gt;4,VALUE(E27)&gt;4),"",IF(VALUE(D27)&lt;=4,VALUE(D27),""))</f>
        <v>3</v>
      </c>
      <c r="H27" s="20" t="n">
        <f aca="false">IF(OR(D27="",E27="",VALUE(D27)&gt;4,VALUE(E27)&gt;4),"",IF(VALUE(E27)&lt;=4,VALUE(E27),""))</f>
        <v>1</v>
      </c>
      <c r="I27" s="6" t="n">
        <f aca="false">IF(G27="",0,RANK(G27,x,1)+(COUNTIF(x,G27)-1)/2)</f>
        <v>42.5</v>
      </c>
      <c r="J27" s="6" t="n">
        <f aca="false">IF(H27="",0,RANK(H27,y,1)+(COUNTIF(y,H27)-1)/2)</f>
        <v>20</v>
      </c>
      <c r="K27" s="6" t="n">
        <f aca="false">I27*J27</f>
        <v>850</v>
      </c>
      <c r="L27" s="6" t="n">
        <f aca="false">I27^2</f>
        <v>1806.25</v>
      </c>
      <c r="M27" s="6" t="n">
        <f aca="false">J27^2</f>
        <v>400</v>
      </c>
    </row>
    <row collapsed="false" customFormat="false" customHeight="true" hidden="false" ht="12.8" outlineLevel="0" r="28">
      <c r="A28" s="16" t="n">
        <v>22</v>
      </c>
      <c r="B28" s="17"/>
      <c r="D28" s="18" t="n">
        <v>5</v>
      </c>
      <c r="E28" s="19" t="n">
        <v>1</v>
      </c>
      <c r="G28" s="20" t="n">
        <f aca="false">IF(OR(D28="",E28="",VALUE(D28)&gt;4,VALUE(E28)&gt;4),"",IF(VALUE(D28)&lt;=4,VALUE(D28),""))</f>
        <v>0</v>
      </c>
      <c r="H28" s="20" t="n">
        <f aca="false">IF(OR(D28="",E28="",VALUE(D28)&gt;4,VALUE(E28)&gt;4),"",IF(VALUE(E28)&lt;=4,VALUE(E28),""))</f>
        <v>0</v>
      </c>
      <c r="I28" s="6" t="n">
        <f aca="false">IF(G28="",0,RANK(G28,x,1)+(COUNTIF(x,G28)-1)/2)</f>
        <v>0</v>
      </c>
      <c r="J28" s="6" t="n">
        <f aca="false">IF(H28="",0,RANK(H28,y,1)+(COUNTIF(y,H28)-1)/2)</f>
        <v>0</v>
      </c>
      <c r="K28" s="6" t="n">
        <f aca="false">I28*J28</f>
        <v>0</v>
      </c>
      <c r="L28" s="6" t="n">
        <f aca="false">I28^2</f>
        <v>0</v>
      </c>
      <c r="M28" s="6" t="n">
        <f aca="false">J28^2</f>
        <v>0</v>
      </c>
    </row>
    <row collapsed="false" customFormat="false" customHeight="true" hidden="false" ht="12.8" outlineLevel="0" r="29">
      <c r="A29" s="16" t="n">
        <v>23</v>
      </c>
      <c r="B29" s="17"/>
      <c r="D29" s="18" t="n">
        <f aca="false">E29</f>
        <v>2</v>
      </c>
      <c r="E29" s="19" t="n">
        <v>2</v>
      </c>
      <c r="G29" s="20" t="n">
        <f aca="false">IF(OR(D29="",E29="",VALUE(D29)&gt;4,VALUE(E29)&gt;4),"",IF(VALUE(D29)&lt;=4,VALUE(D29),""))</f>
        <v>2</v>
      </c>
      <c r="H29" s="20" t="n">
        <f aca="false">IF(OR(D29="",E29="",VALUE(D29)&gt;4,VALUE(E29)&gt;4),"",IF(VALUE(E29)&lt;=4,VALUE(E29),""))</f>
        <v>2</v>
      </c>
      <c r="I29" s="6" t="n">
        <f aca="false">IF(G29="",0,RANK(G29,x,1)+(COUNTIF(x,G29)-1)/2)</f>
        <v>28.5</v>
      </c>
      <c r="J29" s="6" t="n">
        <f aca="false">IF(H29="",0,RANK(H29,y,1)+(COUNTIF(y,H29)-1)/2)</f>
        <v>31.5</v>
      </c>
      <c r="K29" s="6" t="n">
        <f aca="false">I29*J29</f>
        <v>897.75</v>
      </c>
      <c r="L29" s="6" t="n">
        <f aca="false">I29^2</f>
        <v>812.25</v>
      </c>
      <c r="M29" s="6" t="n">
        <f aca="false">J29^2</f>
        <v>992.25</v>
      </c>
    </row>
    <row collapsed="false" customFormat="false" customHeight="true" hidden="false" ht="12.8" outlineLevel="0" r="30">
      <c r="A30" s="16" t="n">
        <v>24</v>
      </c>
      <c r="B30" s="17"/>
      <c r="D30" s="18" t="n">
        <v>3</v>
      </c>
      <c r="E30" s="19" t="n">
        <v>2</v>
      </c>
      <c r="G30" s="20" t="n">
        <f aca="false">IF(OR(D30="",E30="",VALUE(D30)&gt;4,VALUE(E30)&gt;4),"",IF(VALUE(D30)&lt;=4,VALUE(D30),""))</f>
        <v>3</v>
      </c>
      <c r="H30" s="20" t="n">
        <f aca="false">IF(OR(D30="",E30="",VALUE(D30)&gt;4,VALUE(E30)&gt;4),"",IF(VALUE(E30)&lt;=4,VALUE(E30),""))</f>
        <v>2</v>
      </c>
      <c r="I30" s="6" t="n">
        <f aca="false">IF(G30="",0,RANK(G30,x,1)+(COUNTIF(x,G30)-1)/2)</f>
        <v>42.5</v>
      </c>
      <c r="J30" s="6" t="n">
        <f aca="false">IF(H30="",0,RANK(H30,y,1)+(COUNTIF(y,H30)-1)/2)</f>
        <v>31.5</v>
      </c>
      <c r="K30" s="6" t="n">
        <f aca="false">I30*J30</f>
        <v>1338.75</v>
      </c>
      <c r="L30" s="6" t="n">
        <f aca="false">I30^2</f>
        <v>1806.25</v>
      </c>
      <c r="M30" s="6" t="n">
        <f aca="false">J30^2</f>
        <v>992.25</v>
      </c>
    </row>
    <row collapsed="false" customFormat="false" customHeight="true" hidden="false" ht="12.8" outlineLevel="0" r="31">
      <c r="A31" s="16" t="n">
        <v>25</v>
      </c>
      <c r="B31" s="17"/>
      <c r="D31" s="18" t="n">
        <v>8</v>
      </c>
      <c r="E31" s="19" t="n">
        <v>1</v>
      </c>
      <c r="G31" s="20" t="n">
        <f aca="false">IF(OR(D31="",E31="",VALUE(D31)&gt;4,VALUE(E31)&gt;4),"",IF(VALUE(D31)&lt;=4,VALUE(D31),""))</f>
        <v>0</v>
      </c>
      <c r="H31" s="20" t="n">
        <f aca="false">IF(OR(D31="",E31="",VALUE(D31)&gt;4,VALUE(E31)&gt;4),"",IF(VALUE(E31)&lt;=4,VALUE(E31),""))</f>
        <v>0</v>
      </c>
      <c r="I31" s="6" t="n">
        <f aca="false">IF(G31="",0,RANK(G31,x,1)+(COUNTIF(x,G31)-1)/2)</f>
        <v>0</v>
      </c>
      <c r="J31" s="6" t="n">
        <f aca="false">IF(H31="",0,RANK(H31,y,1)+(COUNTIF(y,H31)-1)/2)</f>
        <v>0</v>
      </c>
      <c r="K31" s="6" t="n">
        <f aca="false">I31*J31</f>
        <v>0</v>
      </c>
      <c r="L31" s="6" t="n">
        <f aca="false">I31^2</f>
        <v>0</v>
      </c>
      <c r="M31" s="6" t="n">
        <f aca="false">J31^2</f>
        <v>0</v>
      </c>
    </row>
    <row collapsed="false" customFormat="false" customHeight="true" hidden="false" ht="12.8" outlineLevel="0" r="32">
      <c r="A32" s="16" t="n">
        <v>26</v>
      </c>
      <c r="B32" s="17"/>
      <c r="D32" s="18" t="n">
        <v>0</v>
      </c>
      <c r="E32" s="19" t="n">
        <v>1</v>
      </c>
      <c r="G32" s="20" t="n">
        <f aca="false">IF(OR(D32="",E32="",VALUE(D32)&gt;4,VALUE(E32)&gt;4),"",IF(VALUE(D32)&lt;=4,VALUE(D32),""))</f>
        <v>0</v>
      </c>
      <c r="H32" s="20" t="n">
        <f aca="false">IF(OR(D32="",E32="",VALUE(D32)&gt;4,VALUE(E32)&gt;4),"",IF(VALUE(E32)&lt;=4,VALUE(E32),""))</f>
        <v>1</v>
      </c>
      <c r="I32" s="6" t="n">
        <f aca="false">IF(G32="",0,RANK(G32,x,1)+(COUNTIF(x,G32)-1)/2)</f>
        <v>11</v>
      </c>
      <c r="J32" s="6" t="n">
        <f aca="false">IF(H32="",0,RANK(H32,y,1)+(COUNTIF(y,H32)-1)/2)</f>
        <v>20</v>
      </c>
      <c r="K32" s="6" t="n">
        <f aca="false">I32*J32</f>
        <v>220</v>
      </c>
      <c r="L32" s="6" t="n">
        <f aca="false">I32^2</f>
        <v>121</v>
      </c>
      <c r="M32" s="6" t="n">
        <f aca="false">J32^2</f>
        <v>400</v>
      </c>
    </row>
    <row collapsed="false" customFormat="false" customHeight="true" hidden="false" ht="12.8" outlineLevel="0" r="33">
      <c r="A33" s="16" t="n">
        <v>27</v>
      </c>
      <c r="B33" s="17"/>
      <c r="D33" s="18" t="n">
        <v>0</v>
      </c>
      <c r="E33" s="19" t="n">
        <v>0</v>
      </c>
      <c r="G33" s="20" t="n">
        <f aca="false">IF(OR(D33="",E33="",VALUE(D33)&gt;4,VALUE(E33)&gt;4),"",IF(VALUE(D33)&lt;=4,VALUE(D33),""))</f>
        <v>0</v>
      </c>
      <c r="H33" s="20" t="n">
        <f aca="false">IF(OR(D33="",E33="",VALUE(D33)&gt;4,VALUE(E33)&gt;4),"",IF(VALUE(E33)&lt;=4,VALUE(E33),""))</f>
        <v>0</v>
      </c>
      <c r="I33" s="6" t="n">
        <f aca="false">IF(G33="",0,RANK(G33,x,1)+(COUNTIF(x,G33)-1)/2)</f>
        <v>11</v>
      </c>
      <c r="J33" s="6" t="n">
        <f aca="false">IF(H33="",0,RANK(H33,y,1)+(COUNTIF(y,H33)-1)/2)</f>
        <v>10.5</v>
      </c>
      <c r="K33" s="6" t="n">
        <f aca="false">I33*J33</f>
        <v>115.5</v>
      </c>
      <c r="L33" s="6" t="n">
        <f aca="false">I33^2</f>
        <v>121</v>
      </c>
      <c r="M33" s="6" t="n">
        <f aca="false">J33^2</f>
        <v>110.25</v>
      </c>
    </row>
    <row collapsed="false" customFormat="false" customHeight="true" hidden="false" ht="12.8" outlineLevel="0" r="34">
      <c r="A34" s="16" t="n">
        <v>28</v>
      </c>
      <c r="B34" s="17"/>
      <c r="D34" s="18" t="n">
        <v>1</v>
      </c>
      <c r="E34" s="19" t="n">
        <v>0</v>
      </c>
      <c r="G34" s="20" t="n">
        <f aca="false">IF(OR(D34="",E34="",VALUE(D34)&gt;4,VALUE(E34)&gt;4),"",IF(VALUE(D34)&lt;=4,VALUE(D34),""))</f>
        <v>1</v>
      </c>
      <c r="H34" s="20" t="n">
        <f aca="false">IF(OR(D34="",E34="",VALUE(D34)&gt;4,VALUE(E34)&gt;4),"",IF(VALUE(E34)&lt;=4,VALUE(E34),""))</f>
        <v>0</v>
      </c>
      <c r="I34" s="6" t="n">
        <f aca="false">IF(G34="",0,RANK(G34,x,1)+(COUNTIF(x,G34)-1)/2)</f>
        <v>20</v>
      </c>
      <c r="J34" s="6" t="n">
        <f aca="false">IF(H34="",0,RANK(H34,y,1)+(COUNTIF(y,H34)-1)/2)</f>
        <v>10.5</v>
      </c>
      <c r="K34" s="6" t="n">
        <f aca="false">I34*J34</f>
        <v>210</v>
      </c>
      <c r="L34" s="6" t="n">
        <f aca="false">I34^2</f>
        <v>400</v>
      </c>
      <c r="M34" s="6" t="n">
        <f aca="false">J34^2</f>
        <v>110.25</v>
      </c>
    </row>
    <row collapsed="false" customFormat="false" customHeight="true" hidden="false" ht="12.8" outlineLevel="0" r="35">
      <c r="A35" s="16" t="n">
        <v>30</v>
      </c>
      <c r="B35" s="17"/>
      <c r="D35" s="18" t="n">
        <v>4</v>
      </c>
      <c r="E35" s="19" t="n">
        <v>3</v>
      </c>
      <c r="G35" s="20" t="n">
        <f aca="false">IF(OR(D35="",E35="",VALUE(D35)&gt;4,VALUE(E35)&gt;4),"",IF(VALUE(D35)&lt;=4,VALUE(D35),""))</f>
        <v>4</v>
      </c>
      <c r="H35" s="20" t="n">
        <f aca="false">IF(OR(D35="",E35="",VALUE(D35)&gt;4,VALUE(E35)&gt;4),"",IF(VALUE(E35)&lt;=4,VALUE(E35),""))</f>
        <v>3</v>
      </c>
      <c r="I35" s="6" t="n">
        <f aca="false">IF(G35="",0,RANK(G35,x,1)+(COUNTIF(x,G35)-1)/2)</f>
        <v>56.5</v>
      </c>
      <c r="J35" s="6" t="n">
        <f aca="false">IF(H35="",0,RANK(H35,y,1)+(COUNTIF(y,H35)-1)/2)</f>
        <v>45.5</v>
      </c>
      <c r="K35" s="6" t="n">
        <f aca="false">I35*J35</f>
        <v>2570.75</v>
      </c>
      <c r="L35" s="6" t="n">
        <f aca="false">I35^2</f>
        <v>3192.25</v>
      </c>
      <c r="M35" s="6" t="n">
        <f aca="false">J35^2</f>
        <v>2070.25</v>
      </c>
    </row>
    <row collapsed="false" customFormat="false" customHeight="true" hidden="false" ht="12.8" outlineLevel="0" r="36">
      <c r="A36" s="16" t="n">
        <v>31</v>
      </c>
      <c r="B36" s="17"/>
      <c r="D36" s="18" t="n">
        <v>4</v>
      </c>
      <c r="E36" s="19" t="n">
        <v>2</v>
      </c>
      <c r="G36" s="20" t="n">
        <f aca="false">IF(OR(D36="",E36="",VALUE(D36)&gt;4,VALUE(E36)&gt;4),"",IF(VALUE(D36)&lt;=4,VALUE(D36),""))</f>
        <v>4</v>
      </c>
      <c r="H36" s="20" t="n">
        <f aca="false">IF(OR(D36="",E36="",VALUE(D36)&gt;4,VALUE(E36)&gt;4),"",IF(VALUE(E36)&lt;=4,VALUE(E36),""))</f>
        <v>2</v>
      </c>
      <c r="I36" s="6" t="n">
        <f aca="false">IF(G36="",0,RANK(G36,x,1)+(COUNTIF(x,G36)-1)/2)</f>
        <v>56.5</v>
      </c>
      <c r="J36" s="6" t="n">
        <f aca="false">IF(H36="",0,RANK(H36,y,1)+(COUNTIF(y,H36)-1)/2)</f>
        <v>31.5</v>
      </c>
      <c r="K36" s="6" t="n">
        <f aca="false">I36*J36</f>
        <v>1779.75</v>
      </c>
      <c r="L36" s="6" t="n">
        <f aca="false">I36^2</f>
        <v>3192.25</v>
      </c>
      <c r="M36" s="6" t="n">
        <f aca="false">J36^2</f>
        <v>992.25</v>
      </c>
    </row>
    <row collapsed="false" customFormat="false" customHeight="true" hidden="false" ht="12.8" outlineLevel="0" r="37">
      <c r="A37" s="16" t="n">
        <v>32</v>
      </c>
      <c r="B37" s="17"/>
      <c r="D37" s="18" t="n">
        <v>4</v>
      </c>
      <c r="E37" s="19" t="n">
        <v>3</v>
      </c>
      <c r="G37" s="20" t="n">
        <f aca="false">IF(OR(D37="",E37="",VALUE(D37)&gt;4,VALUE(E37)&gt;4),"",IF(VALUE(D37)&lt;=4,VALUE(D37),""))</f>
        <v>4</v>
      </c>
      <c r="H37" s="20" t="n">
        <f aca="false">IF(OR(D37="",E37="",VALUE(D37)&gt;4,VALUE(E37)&gt;4),"",IF(VALUE(E37)&lt;=4,VALUE(E37),""))</f>
        <v>3</v>
      </c>
      <c r="I37" s="6" t="n">
        <f aca="false">IF(G37="",0,RANK(G37,x,1)+(COUNTIF(x,G37)-1)/2)</f>
        <v>56.5</v>
      </c>
      <c r="J37" s="6" t="n">
        <f aca="false">IF(H37="",0,RANK(H37,y,1)+(COUNTIF(y,H37)-1)/2)</f>
        <v>45.5</v>
      </c>
      <c r="K37" s="6" t="n">
        <f aca="false">I37*J37</f>
        <v>2570.75</v>
      </c>
      <c r="L37" s="6" t="n">
        <f aca="false">I37^2</f>
        <v>3192.25</v>
      </c>
      <c r="M37" s="6" t="n">
        <f aca="false">J37^2</f>
        <v>2070.25</v>
      </c>
    </row>
    <row collapsed="false" customFormat="false" customHeight="true" hidden="false" ht="12.8" outlineLevel="0" r="38">
      <c r="A38" s="16" t="n">
        <v>33</v>
      </c>
      <c r="B38" s="17"/>
      <c r="D38" s="18" t="n">
        <v>1</v>
      </c>
      <c r="E38" s="19" t="n">
        <v>0</v>
      </c>
      <c r="G38" s="20" t="n">
        <f aca="false">IF(OR(D38="",E38="",VALUE(D38)&gt;4,VALUE(E38)&gt;4),"",IF(VALUE(D38)&lt;=4,VALUE(D38),""))</f>
        <v>1</v>
      </c>
      <c r="H38" s="20" t="n">
        <f aca="false">IF(OR(D38="",E38="",VALUE(D38)&gt;4,VALUE(E38)&gt;4),"",IF(VALUE(E38)&lt;=4,VALUE(E38),""))</f>
        <v>0</v>
      </c>
      <c r="I38" s="6" t="n">
        <f aca="false">IF(G38="",0,RANK(G38,x,1)+(COUNTIF(x,G38)-1)/2)</f>
        <v>20</v>
      </c>
      <c r="J38" s="6" t="n">
        <f aca="false">IF(H38="",0,RANK(H38,y,1)+(COUNTIF(y,H38)-1)/2)</f>
        <v>10.5</v>
      </c>
      <c r="K38" s="6" t="n">
        <f aca="false">I38*J38</f>
        <v>210</v>
      </c>
      <c r="L38" s="6" t="n">
        <f aca="false">I38^2</f>
        <v>400</v>
      </c>
      <c r="M38" s="6" t="n">
        <f aca="false">J38^2</f>
        <v>110.25</v>
      </c>
    </row>
    <row collapsed="false" customFormat="false" customHeight="true" hidden="false" ht="12.8" outlineLevel="0" r="39">
      <c r="A39" s="16" t="n">
        <v>34</v>
      </c>
      <c r="B39" s="17"/>
      <c r="D39" s="18" t="n">
        <f aca="false">E39</f>
        <v>2</v>
      </c>
      <c r="E39" s="19" t="n">
        <v>2</v>
      </c>
      <c r="G39" s="20" t="n">
        <f aca="false">IF(OR(D39="",E39="",VALUE(D39)&gt;4,VALUE(E39)&gt;4),"",IF(VALUE(D39)&lt;=4,VALUE(D39),""))</f>
        <v>2</v>
      </c>
      <c r="H39" s="20" t="n">
        <f aca="false">IF(OR(D39="",E39="",VALUE(D39)&gt;4,VALUE(E39)&gt;4),"",IF(VALUE(E39)&lt;=4,VALUE(E39),""))</f>
        <v>2</v>
      </c>
      <c r="I39" s="6" t="n">
        <f aca="false">IF(G39="",0,RANK(G39,x,1)+(COUNTIF(x,G39)-1)/2)</f>
        <v>28.5</v>
      </c>
      <c r="J39" s="6" t="n">
        <f aca="false">IF(H39="",0,RANK(H39,y,1)+(COUNTIF(y,H39)-1)/2)</f>
        <v>31.5</v>
      </c>
      <c r="K39" s="6" t="n">
        <f aca="false">I39*J39</f>
        <v>897.75</v>
      </c>
      <c r="L39" s="6" t="n">
        <f aca="false">I39^2</f>
        <v>812.25</v>
      </c>
      <c r="M39" s="6" t="n">
        <f aca="false">J39^2</f>
        <v>992.25</v>
      </c>
    </row>
    <row collapsed="false" customFormat="false" customHeight="true" hidden="false" ht="12.8" outlineLevel="0" r="40">
      <c r="A40" s="16" t="n">
        <v>35</v>
      </c>
      <c r="B40" s="17"/>
      <c r="D40" s="18" t="n">
        <v>3</v>
      </c>
      <c r="E40" s="19" t="n">
        <v>3</v>
      </c>
      <c r="G40" s="20" t="n">
        <f aca="false">IF(OR(D40="",E40="",VALUE(D40)&gt;4,VALUE(E40)&gt;4),"",IF(VALUE(D40)&lt;=4,VALUE(D40),""))</f>
        <v>3</v>
      </c>
      <c r="H40" s="20" t="n">
        <f aca="false">IF(OR(D40="",E40="",VALUE(D40)&gt;4,VALUE(E40)&gt;4),"",IF(VALUE(E40)&lt;=4,VALUE(E40),""))</f>
        <v>3</v>
      </c>
      <c r="I40" s="6" t="n">
        <f aca="false">IF(G40="",0,RANK(G40,x,1)+(COUNTIF(x,G40)-1)/2)</f>
        <v>42.5</v>
      </c>
      <c r="J40" s="6" t="n">
        <f aca="false">IF(H40="",0,RANK(H40,y,1)+(COUNTIF(y,H40)-1)/2)</f>
        <v>45.5</v>
      </c>
      <c r="K40" s="6" t="n">
        <f aca="false">I40*J40</f>
        <v>1933.75</v>
      </c>
      <c r="L40" s="6" t="n">
        <f aca="false">I40^2</f>
        <v>1806.25</v>
      </c>
      <c r="M40" s="6" t="n">
        <f aca="false">J40^2</f>
        <v>2070.25</v>
      </c>
    </row>
    <row collapsed="false" customFormat="false" customHeight="true" hidden="false" ht="12.8" outlineLevel="0" r="41">
      <c r="A41" s="16" t="n">
        <v>36</v>
      </c>
      <c r="B41" s="17"/>
      <c r="D41" s="18" t="n">
        <v>4</v>
      </c>
      <c r="E41" s="19" t="n">
        <v>3</v>
      </c>
      <c r="G41" s="20" t="n">
        <f aca="false">IF(OR(D41="",E41="",VALUE(D41)&gt;4,VALUE(E41)&gt;4),"",IF(VALUE(D41)&lt;=4,VALUE(D41),""))</f>
        <v>4</v>
      </c>
      <c r="H41" s="20" t="n">
        <f aca="false">IF(OR(D41="",E41="",VALUE(D41)&gt;4,VALUE(E41)&gt;4),"",IF(VALUE(E41)&lt;=4,VALUE(E41),""))</f>
        <v>3</v>
      </c>
      <c r="I41" s="6" t="n">
        <f aca="false">IF(G41="",0,RANK(G41,x,1)+(COUNTIF(x,G41)-1)/2)</f>
        <v>56.5</v>
      </c>
      <c r="J41" s="6" t="n">
        <f aca="false">IF(H41="",0,RANK(H41,y,1)+(COUNTIF(y,H41)-1)/2)</f>
        <v>45.5</v>
      </c>
      <c r="K41" s="6" t="n">
        <f aca="false">I41*J41</f>
        <v>2570.75</v>
      </c>
      <c r="L41" s="6" t="n">
        <f aca="false">I41^2</f>
        <v>3192.25</v>
      </c>
      <c r="M41" s="6" t="n">
        <f aca="false">J41^2</f>
        <v>2070.25</v>
      </c>
    </row>
    <row collapsed="false" customFormat="false" customHeight="true" hidden="false" ht="12.8" outlineLevel="0" r="42">
      <c r="A42" s="16" t="n">
        <v>37</v>
      </c>
      <c r="B42" s="17"/>
      <c r="D42" s="18" t="n">
        <v>3</v>
      </c>
      <c r="E42" s="19" t="n">
        <v>2</v>
      </c>
      <c r="G42" s="20" t="n">
        <f aca="false">IF(OR(D42="",E42="",VALUE(D42)&gt;4,VALUE(E42)&gt;4),"",IF(VALUE(D42)&lt;=4,VALUE(D42),""))</f>
        <v>3</v>
      </c>
      <c r="H42" s="20" t="n">
        <f aca="false">IF(OR(D42="",E42="",VALUE(D42)&gt;4,VALUE(E42)&gt;4),"",IF(VALUE(E42)&lt;=4,VALUE(E42),""))</f>
        <v>2</v>
      </c>
      <c r="I42" s="6" t="n">
        <f aca="false">IF(G42="",0,RANK(G42,x,1)+(COUNTIF(x,G42)-1)/2)</f>
        <v>42.5</v>
      </c>
      <c r="J42" s="6" t="n">
        <f aca="false">IF(H42="",0,RANK(H42,y,1)+(COUNTIF(y,H42)-1)/2)</f>
        <v>31.5</v>
      </c>
      <c r="K42" s="6" t="n">
        <f aca="false">I42*J42</f>
        <v>1338.75</v>
      </c>
      <c r="L42" s="6" t="n">
        <f aca="false">I42^2</f>
        <v>1806.25</v>
      </c>
      <c r="M42" s="6" t="n">
        <f aca="false">J42^2</f>
        <v>992.25</v>
      </c>
    </row>
    <row collapsed="false" customFormat="false" customHeight="true" hidden="false" ht="12.8" outlineLevel="0" r="43">
      <c r="A43" s="16" t="n">
        <v>38</v>
      </c>
      <c r="B43" s="17"/>
      <c r="D43" s="18" t="n">
        <v>0</v>
      </c>
      <c r="E43" s="19" t="n">
        <v>3</v>
      </c>
      <c r="G43" s="20" t="n">
        <f aca="false">IF(OR(D43="",E43="",VALUE(D43)&gt;4,VALUE(E43)&gt;4),"",IF(VALUE(D43)&lt;=4,VALUE(D43),""))</f>
        <v>0</v>
      </c>
      <c r="H43" s="20" t="n">
        <f aca="false">IF(OR(D43="",E43="",VALUE(D43)&gt;4,VALUE(E43)&gt;4),"",IF(VALUE(E43)&lt;=4,VALUE(E43),""))</f>
        <v>3</v>
      </c>
      <c r="I43" s="6" t="n">
        <f aca="false">IF(G43="",0,RANK(G43,x,1)+(COUNTIF(x,G43)-1)/2)</f>
        <v>11</v>
      </c>
      <c r="J43" s="6" t="n">
        <f aca="false">IF(H43="",0,RANK(H43,y,1)+(COUNTIF(y,H43)-1)/2)</f>
        <v>45.5</v>
      </c>
      <c r="K43" s="6" t="n">
        <f aca="false">I43*J43</f>
        <v>500.5</v>
      </c>
      <c r="L43" s="6" t="n">
        <f aca="false">I43^2</f>
        <v>121</v>
      </c>
      <c r="M43" s="6" t="n">
        <f aca="false">J43^2</f>
        <v>2070.25</v>
      </c>
    </row>
    <row collapsed="false" customFormat="false" customHeight="true" hidden="false" ht="12.8" outlineLevel="0" r="44">
      <c r="A44" s="16" t="n">
        <v>39</v>
      </c>
      <c r="B44" s="17"/>
      <c r="D44" s="18" t="n">
        <v>3</v>
      </c>
      <c r="E44" s="19" t="n">
        <v>2</v>
      </c>
      <c r="G44" s="20" t="n">
        <f aca="false">IF(OR(D44="",E44="",VALUE(D44)&gt;4,VALUE(E44)&gt;4),"",IF(VALUE(D44)&lt;=4,VALUE(D44),""))</f>
        <v>3</v>
      </c>
      <c r="H44" s="20" t="n">
        <f aca="false">IF(OR(D44="",E44="",VALUE(D44)&gt;4,VALUE(E44)&gt;4),"",IF(VALUE(E44)&lt;=4,VALUE(E44),""))</f>
        <v>2</v>
      </c>
      <c r="I44" s="6" t="n">
        <f aca="false">IF(G44="",0,RANK(G44,x,1)+(COUNTIF(x,G44)-1)/2)</f>
        <v>42.5</v>
      </c>
      <c r="J44" s="6" t="n">
        <f aca="false">IF(H44="",0,RANK(H44,y,1)+(COUNTIF(y,H44)-1)/2)</f>
        <v>31.5</v>
      </c>
      <c r="K44" s="6" t="n">
        <f aca="false">I44*J44</f>
        <v>1338.75</v>
      </c>
      <c r="L44" s="6" t="n">
        <f aca="false">I44^2</f>
        <v>1806.25</v>
      </c>
      <c r="M44" s="6" t="n">
        <f aca="false">J44^2</f>
        <v>992.25</v>
      </c>
    </row>
    <row collapsed="false" customFormat="false" customHeight="true" hidden="false" ht="12.8" outlineLevel="0" r="45">
      <c r="A45" s="16" t="n">
        <v>40</v>
      </c>
      <c r="B45" s="17"/>
      <c r="D45" s="18" t="n">
        <f aca="false">E45</f>
        <v>3</v>
      </c>
      <c r="E45" s="19" t="n">
        <v>3</v>
      </c>
      <c r="G45" s="20" t="n">
        <f aca="false">IF(OR(D45="",E45="",VALUE(D45)&gt;4,VALUE(E45)&gt;4),"",IF(VALUE(D45)&lt;=4,VALUE(D45),""))</f>
        <v>3</v>
      </c>
      <c r="H45" s="20" t="n">
        <f aca="false">IF(OR(D45="",E45="",VALUE(D45)&gt;4,VALUE(E45)&gt;4),"",IF(VALUE(E45)&lt;=4,VALUE(E45),""))</f>
        <v>3</v>
      </c>
      <c r="I45" s="6" t="n">
        <f aca="false">IF(G45="",0,RANK(G45,x,1)+(COUNTIF(x,G45)-1)/2)</f>
        <v>42.5</v>
      </c>
      <c r="J45" s="6" t="n">
        <f aca="false">IF(H45="",0,RANK(H45,y,1)+(COUNTIF(y,H45)-1)/2)</f>
        <v>45.5</v>
      </c>
      <c r="K45" s="6" t="n">
        <f aca="false">I45*J45</f>
        <v>1933.75</v>
      </c>
      <c r="L45" s="6" t="n">
        <f aca="false">I45^2</f>
        <v>1806.25</v>
      </c>
      <c r="M45" s="6" t="n">
        <f aca="false">J45^2</f>
        <v>2070.25</v>
      </c>
    </row>
    <row collapsed="false" customFormat="false" customHeight="true" hidden="false" ht="12.8" outlineLevel="0" r="46">
      <c r="A46" s="16" t="n">
        <v>41</v>
      </c>
      <c r="B46" s="17"/>
      <c r="D46" s="18" t="n">
        <f aca="false">E46</f>
        <v>2</v>
      </c>
      <c r="E46" s="19" t="n">
        <v>2</v>
      </c>
      <c r="G46" s="20" t="n">
        <f aca="false">IF(OR(D46="",E46="",VALUE(D46)&gt;4,VALUE(E46)&gt;4),"",IF(VALUE(D46)&lt;=4,VALUE(D46),""))</f>
        <v>2</v>
      </c>
      <c r="H46" s="20" t="n">
        <f aca="false">IF(OR(D46="",E46="",VALUE(D46)&gt;4,VALUE(E46)&gt;4),"",IF(VALUE(E46)&lt;=4,VALUE(E46),""))</f>
        <v>2</v>
      </c>
      <c r="I46" s="6" t="n">
        <f aca="false">IF(G46="",0,RANK(G46,x,1)+(COUNTIF(x,G46)-1)/2)</f>
        <v>28.5</v>
      </c>
      <c r="J46" s="6" t="n">
        <f aca="false">IF(H46="",0,RANK(H46,y,1)+(COUNTIF(y,H46)-1)/2)</f>
        <v>31.5</v>
      </c>
      <c r="K46" s="6" t="n">
        <f aca="false">I46*J46</f>
        <v>897.75</v>
      </c>
      <c r="L46" s="6" t="n">
        <f aca="false">I46^2</f>
        <v>812.25</v>
      </c>
      <c r="M46" s="6" t="n">
        <f aca="false">J46^2</f>
        <v>992.25</v>
      </c>
    </row>
    <row collapsed="false" customFormat="false" customHeight="true" hidden="false" ht="12.8" outlineLevel="0" r="47">
      <c r="A47" s="16" t="n">
        <v>42</v>
      </c>
      <c r="B47" s="17"/>
      <c r="D47" s="18" t="n">
        <v>4</v>
      </c>
      <c r="E47" s="19" t="n">
        <v>4</v>
      </c>
      <c r="G47" s="20" t="n">
        <f aca="false">IF(OR(D47="",E47="",VALUE(D47)&gt;4,VALUE(E47)&gt;4),"",IF(VALUE(D47)&lt;=4,VALUE(D47),""))</f>
        <v>4</v>
      </c>
      <c r="H47" s="20" t="n">
        <f aca="false">IF(OR(D47="",E47="",VALUE(D47)&gt;4,VALUE(E47)&gt;4),"",IF(VALUE(E47)&lt;=4,VALUE(E47),""))</f>
        <v>4</v>
      </c>
      <c r="I47" s="6" t="n">
        <f aca="false">IF(G47="",0,RANK(G47,x,1)+(COUNTIF(x,G47)-1)/2)</f>
        <v>56.5</v>
      </c>
      <c r="J47" s="6" t="n">
        <f aca="false">IF(H47="",0,RANK(H47,y,1)+(COUNTIF(y,H47)-1)/2)</f>
        <v>57</v>
      </c>
      <c r="K47" s="6" t="n">
        <f aca="false">I47*J47</f>
        <v>3220.5</v>
      </c>
      <c r="L47" s="6" t="n">
        <f aca="false">I47^2</f>
        <v>3192.25</v>
      </c>
      <c r="M47" s="6" t="n">
        <f aca="false">J47^2</f>
        <v>3249</v>
      </c>
    </row>
    <row collapsed="false" customFormat="false" customHeight="true" hidden="false" ht="12.8" outlineLevel="0" r="48">
      <c r="A48" s="16" t="n">
        <v>43</v>
      </c>
      <c r="B48" s="17"/>
      <c r="D48" s="18" t="n">
        <v>4</v>
      </c>
      <c r="E48" s="19" t="n">
        <v>3</v>
      </c>
      <c r="G48" s="20" t="n">
        <f aca="false">IF(OR(D48="",E48="",VALUE(D48)&gt;4,VALUE(E48)&gt;4),"",IF(VALUE(D48)&lt;=4,VALUE(D48),""))</f>
        <v>4</v>
      </c>
      <c r="H48" s="20" t="n">
        <f aca="false">IF(OR(D48="",E48="",VALUE(D48)&gt;4,VALUE(E48)&gt;4),"",IF(VALUE(E48)&lt;=4,VALUE(E48),""))</f>
        <v>3</v>
      </c>
      <c r="I48" s="6" t="n">
        <f aca="false">IF(G48="",0,RANK(G48,x,1)+(COUNTIF(x,G48)-1)/2)</f>
        <v>56.5</v>
      </c>
      <c r="J48" s="6" t="n">
        <f aca="false">IF(H48="",0,RANK(H48,y,1)+(COUNTIF(y,H48)-1)/2)</f>
        <v>45.5</v>
      </c>
      <c r="K48" s="6" t="n">
        <f aca="false">I48*J48</f>
        <v>2570.75</v>
      </c>
      <c r="L48" s="6" t="n">
        <f aca="false">I48^2</f>
        <v>3192.25</v>
      </c>
      <c r="M48" s="6" t="n">
        <f aca="false">J48^2</f>
        <v>2070.25</v>
      </c>
    </row>
    <row collapsed="false" customFormat="false" customHeight="true" hidden="false" ht="12.8" outlineLevel="0" r="49">
      <c r="A49" s="16" t="n">
        <v>44</v>
      </c>
      <c r="B49" s="17"/>
      <c r="D49" s="18" t="n">
        <v>4</v>
      </c>
      <c r="E49" s="19" t="n">
        <v>2</v>
      </c>
      <c r="G49" s="20" t="n">
        <f aca="false">IF(OR(D49="",E49="",VALUE(D49)&gt;4,VALUE(E49)&gt;4),"",IF(VALUE(D49)&lt;=4,VALUE(D49),""))</f>
        <v>4</v>
      </c>
      <c r="H49" s="20" t="n">
        <f aca="false">IF(OR(D49="",E49="",VALUE(D49)&gt;4,VALUE(E49)&gt;4),"",IF(VALUE(E49)&lt;=4,VALUE(E49),""))</f>
        <v>2</v>
      </c>
      <c r="I49" s="6" t="n">
        <f aca="false">IF(G49="",0,RANK(G49,x,1)+(COUNTIF(x,G49)-1)/2)</f>
        <v>56.5</v>
      </c>
      <c r="J49" s="6" t="n">
        <f aca="false">IF(H49="",0,RANK(H49,y,1)+(COUNTIF(y,H49)-1)/2)</f>
        <v>31.5</v>
      </c>
      <c r="K49" s="6" t="n">
        <f aca="false">I49*J49</f>
        <v>1779.75</v>
      </c>
      <c r="L49" s="6" t="n">
        <f aca="false">I49^2</f>
        <v>3192.25</v>
      </c>
      <c r="M49" s="6" t="n">
        <f aca="false">J49^2</f>
        <v>992.25</v>
      </c>
    </row>
    <row collapsed="false" customFormat="false" customHeight="true" hidden="false" ht="12.8" outlineLevel="0" r="50">
      <c r="A50" s="16" t="n">
        <v>45</v>
      </c>
      <c r="B50" s="17"/>
      <c r="D50" s="18" t="n">
        <v>0</v>
      </c>
      <c r="E50" s="19" t="n">
        <v>3</v>
      </c>
      <c r="G50" s="20" t="n">
        <f aca="false">IF(OR(D50="",E50="",VALUE(D50)&gt;4,VALUE(E50)&gt;4),"",IF(VALUE(D50)&lt;=4,VALUE(D50),""))</f>
        <v>0</v>
      </c>
      <c r="H50" s="20" t="n">
        <f aca="false">IF(OR(D50="",E50="",VALUE(D50)&gt;4,VALUE(E50)&gt;4),"",IF(VALUE(E50)&lt;=4,VALUE(E50),""))</f>
        <v>3</v>
      </c>
      <c r="I50" s="6" t="n">
        <f aca="false">IF(G50="",0,RANK(G50,x,1)+(COUNTIF(x,G50)-1)/2)</f>
        <v>11</v>
      </c>
      <c r="J50" s="6" t="n">
        <f aca="false">IF(H50="",0,RANK(H50,y,1)+(COUNTIF(y,H50)-1)/2)</f>
        <v>45.5</v>
      </c>
      <c r="K50" s="6" t="n">
        <f aca="false">I50*J50</f>
        <v>500.5</v>
      </c>
      <c r="L50" s="6" t="n">
        <f aca="false">I50^2</f>
        <v>121</v>
      </c>
      <c r="M50" s="6" t="n">
        <f aca="false">J50^2</f>
        <v>2070.25</v>
      </c>
    </row>
    <row collapsed="false" customFormat="false" customHeight="true" hidden="false" ht="12.8" outlineLevel="0" r="51">
      <c r="A51" s="16" t="n">
        <v>46</v>
      </c>
      <c r="B51" s="17"/>
      <c r="D51" s="18" t="n">
        <v>3</v>
      </c>
      <c r="E51" s="19" t="n">
        <v>2</v>
      </c>
      <c r="G51" s="20" t="n">
        <f aca="false">IF(OR(D51="",E51="",VALUE(D51)&gt;4,VALUE(E51)&gt;4),"",IF(VALUE(D51)&lt;=4,VALUE(D51),""))</f>
        <v>3</v>
      </c>
      <c r="H51" s="20" t="n">
        <f aca="false">IF(OR(D51="",E51="",VALUE(D51)&gt;4,VALUE(E51)&gt;4),"",IF(VALUE(E51)&lt;=4,VALUE(E51),""))</f>
        <v>2</v>
      </c>
      <c r="I51" s="6" t="n">
        <f aca="false">IF(G51="",0,RANK(G51,x,1)+(COUNTIF(x,G51)-1)/2)</f>
        <v>42.5</v>
      </c>
      <c r="J51" s="6" t="n">
        <f aca="false">IF(H51="",0,RANK(H51,y,1)+(COUNTIF(y,H51)-1)/2)</f>
        <v>31.5</v>
      </c>
      <c r="K51" s="6" t="n">
        <f aca="false">I51*J51</f>
        <v>1338.75</v>
      </c>
      <c r="L51" s="6" t="n">
        <f aca="false">I51^2</f>
        <v>1806.25</v>
      </c>
      <c r="M51" s="6" t="n">
        <f aca="false">J51^2</f>
        <v>992.25</v>
      </c>
    </row>
    <row collapsed="false" customFormat="false" customHeight="true" hidden="false" ht="12.8" outlineLevel="0" r="52">
      <c r="A52" s="16" t="n">
        <v>47</v>
      </c>
      <c r="B52" s="17"/>
      <c r="D52" s="18" t="n">
        <v>4</v>
      </c>
      <c r="E52" s="19" t="n">
        <v>9</v>
      </c>
      <c r="G52" s="20" t="n">
        <f aca="false">IF(OR(D52="",E52="",VALUE(D52)&gt;4,VALUE(E52)&gt;4),"",IF(VALUE(D52)&lt;=4,VALUE(D52),""))</f>
        <v>0</v>
      </c>
      <c r="H52" s="20" t="n">
        <f aca="false">IF(OR(D52="",E52="",VALUE(D52)&gt;4,VALUE(E52)&gt;4),"",IF(VALUE(E52)&lt;=4,VALUE(E52),""))</f>
        <v>0</v>
      </c>
      <c r="I52" s="6" t="n">
        <f aca="false">IF(G52="",0,RANK(G52,x,1)+(COUNTIF(x,G52)-1)/2)</f>
        <v>0</v>
      </c>
      <c r="J52" s="6" t="n">
        <f aca="false">IF(H52="",0,RANK(H52,y,1)+(COUNTIF(y,H52)-1)/2)</f>
        <v>0</v>
      </c>
      <c r="K52" s="6" t="n">
        <f aca="false">I52*J52</f>
        <v>0</v>
      </c>
      <c r="L52" s="6" t="n">
        <f aca="false">I52^2</f>
        <v>0</v>
      </c>
      <c r="M52" s="6" t="n">
        <f aca="false">J52^2</f>
        <v>0</v>
      </c>
    </row>
    <row collapsed="false" customFormat="false" customHeight="true" hidden="false" ht="12.8" outlineLevel="0" r="53">
      <c r="A53" s="16" t="n">
        <v>48</v>
      </c>
      <c r="B53" s="17"/>
      <c r="D53" s="18" t="n">
        <v>3</v>
      </c>
      <c r="E53" s="19" t="n">
        <v>2</v>
      </c>
      <c r="G53" s="20" t="n">
        <f aca="false">IF(OR(D53="",E53="",VALUE(D53)&gt;4,VALUE(E53)&gt;4),"",IF(VALUE(D53)&lt;=4,VALUE(D53),""))</f>
        <v>3</v>
      </c>
      <c r="H53" s="20" t="n">
        <f aca="false">IF(OR(D53="",E53="",VALUE(D53)&gt;4,VALUE(E53)&gt;4),"",IF(VALUE(E53)&lt;=4,VALUE(E53),""))</f>
        <v>2</v>
      </c>
      <c r="I53" s="6" t="n">
        <f aca="false">IF(G53="",0,RANK(G53,x,1)+(COUNTIF(x,G53)-1)/2)</f>
        <v>42.5</v>
      </c>
      <c r="J53" s="6" t="n">
        <f aca="false">IF(H53="",0,RANK(H53,y,1)+(COUNTIF(y,H53)-1)/2)</f>
        <v>31.5</v>
      </c>
      <c r="K53" s="6" t="n">
        <f aca="false">I53*J53</f>
        <v>1338.75</v>
      </c>
      <c r="L53" s="6" t="n">
        <f aca="false">I53^2</f>
        <v>1806.25</v>
      </c>
      <c r="M53" s="6" t="n">
        <f aca="false">J53^2</f>
        <v>992.25</v>
      </c>
    </row>
    <row collapsed="false" customFormat="false" customHeight="true" hidden="false" ht="12.8" outlineLevel="0" r="54">
      <c r="A54" s="16" t="n">
        <v>49</v>
      </c>
      <c r="B54" s="17"/>
      <c r="D54" s="18" t="n">
        <v>0</v>
      </c>
      <c r="E54" s="19" t="n">
        <v>1</v>
      </c>
      <c r="G54" s="20" t="n">
        <f aca="false">IF(OR(D54="",E54="",VALUE(D54)&gt;4,VALUE(E54)&gt;4),"",IF(VALUE(D54)&lt;=4,VALUE(D54),""))</f>
        <v>0</v>
      </c>
      <c r="H54" s="20" t="n">
        <f aca="false">IF(OR(D54="",E54="",VALUE(D54)&gt;4,VALUE(E54)&gt;4),"",IF(VALUE(E54)&lt;=4,VALUE(E54),""))</f>
        <v>1</v>
      </c>
      <c r="I54" s="6" t="n">
        <f aca="false">IF(G54="",0,RANK(G54,x,1)+(COUNTIF(x,G54)-1)/2)</f>
        <v>11</v>
      </c>
      <c r="J54" s="6" t="n">
        <f aca="false">IF(H54="",0,RANK(H54,y,1)+(COUNTIF(y,H54)-1)/2)</f>
        <v>20</v>
      </c>
      <c r="K54" s="6" t="n">
        <f aca="false">I54*J54</f>
        <v>220</v>
      </c>
      <c r="L54" s="6" t="n">
        <f aca="false">I54^2</f>
        <v>121</v>
      </c>
      <c r="M54" s="6" t="n">
        <f aca="false">J54^2</f>
        <v>400</v>
      </c>
    </row>
    <row collapsed="false" customFormat="false" customHeight="true" hidden="false" ht="12.8" outlineLevel="0" r="55">
      <c r="A55" s="16" t="n">
        <v>50</v>
      </c>
      <c r="B55" s="17"/>
      <c r="D55" s="18" t="n">
        <v>0</v>
      </c>
      <c r="E55" s="19" t="n">
        <v>4</v>
      </c>
      <c r="G55" s="20" t="n">
        <f aca="false">IF(OR(D55="",E55="",VALUE(D55)&gt;4,VALUE(E55)&gt;4),"",IF(VALUE(D55)&lt;=4,VALUE(D55),""))</f>
        <v>0</v>
      </c>
      <c r="H55" s="20" t="n">
        <f aca="false">IF(OR(D55="",E55="",VALUE(D55)&gt;4,VALUE(E55)&gt;4),"",IF(VALUE(E55)&lt;=4,VALUE(E55),""))</f>
        <v>4</v>
      </c>
      <c r="I55" s="6" t="n">
        <f aca="false">IF(G55="",0,RANK(G55,x,1)+(COUNTIF(x,G55)-1)/2)</f>
        <v>11</v>
      </c>
      <c r="J55" s="6" t="n">
        <f aca="false">IF(H55="",0,RANK(H55,y,1)+(COUNTIF(y,H55)-1)/2)</f>
        <v>57</v>
      </c>
      <c r="K55" s="6" t="n">
        <f aca="false">I55*J55</f>
        <v>627</v>
      </c>
      <c r="L55" s="6" t="n">
        <f aca="false">I55^2</f>
        <v>121</v>
      </c>
      <c r="M55" s="6" t="n">
        <f aca="false">J55^2</f>
        <v>3249</v>
      </c>
    </row>
    <row collapsed="false" customFormat="false" customHeight="true" hidden="false" ht="12.8" outlineLevel="0" r="56">
      <c r="A56" s="16" t="n">
        <v>51</v>
      </c>
      <c r="B56" s="17"/>
      <c r="D56" s="18" t="n">
        <v>3</v>
      </c>
      <c r="E56" s="19" t="n">
        <v>2</v>
      </c>
      <c r="G56" s="20" t="n">
        <f aca="false">IF(OR(D56="",E56="",VALUE(D56)&gt;4,VALUE(E56)&gt;4),"",IF(VALUE(D56)&lt;=4,VALUE(D56),""))</f>
        <v>3</v>
      </c>
      <c r="H56" s="20" t="n">
        <f aca="false">IF(OR(D56="",E56="",VALUE(D56)&gt;4,VALUE(E56)&gt;4),"",IF(VALUE(E56)&lt;=4,VALUE(E56),""))</f>
        <v>2</v>
      </c>
      <c r="I56" s="6" t="n">
        <f aca="false">IF(G56="",0,RANK(G56,x,1)+(COUNTIF(x,G56)-1)/2)</f>
        <v>42.5</v>
      </c>
      <c r="J56" s="6" t="n">
        <f aca="false">IF(H56="",0,RANK(H56,y,1)+(COUNTIF(y,H56)-1)/2)</f>
        <v>31.5</v>
      </c>
      <c r="K56" s="6" t="n">
        <f aca="false">I56*J56</f>
        <v>1338.75</v>
      </c>
      <c r="L56" s="6" t="n">
        <f aca="false">I56^2</f>
        <v>1806.25</v>
      </c>
      <c r="M56" s="6" t="n">
        <f aca="false">J56^2</f>
        <v>992.25</v>
      </c>
    </row>
    <row collapsed="false" customFormat="false" customHeight="true" hidden="false" ht="12.8" outlineLevel="0" r="57">
      <c r="A57" s="16" t="n">
        <v>52</v>
      </c>
      <c r="B57" s="17"/>
      <c r="D57" s="18" t="n">
        <f aca="false">E57</f>
        <v>4</v>
      </c>
      <c r="E57" s="19" t="n">
        <v>4</v>
      </c>
      <c r="G57" s="20" t="n">
        <f aca="false">IF(OR(D57="",E57="",VALUE(D57)&gt;4,VALUE(E57)&gt;4),"",IF(VALUE(D57)&lt;=4,VALUE(D57),""))</f>
        <v>4</v>
      </c>
      <c r="H57" s="20" t="n">
        <f aca="false">IF(OR(D57="",E57="",VALUE(D57)&gt;4,VALUE(E57)&gt;4),"",IF(VALUE(E57)&lt;=4,VALUE(E57),""))</f>
        <v>4</v>
      </c>
      <c r="I57" s="6" t="n">
        <f aca="false">IF(G57="",0,RANK(G57,x,1)+(COUNTIF(x,G57)-1)/2)</f>
        <v>56.5</v>
      </c>
      <c r="J57" s="6" t="n">
        <f aca="false">IF(H57="",0,RANK(H57,y,1)+(COUNTIF(y,H57)-1)/2)</f>
        <v>57</v>
      </c>
      <c r="K57" s="6" t="n">
        <f aca="false">I57*J57</f>
        <v>3220.5</v>
      </c>
      <c r="L57" s="6" t="n">
        <f aca="false">I57^2</f>
        <v>3192.25</v>
      </c>
      <c r="M57" s="6" t="n">
        <f aca="false">J57^2</f>
        <v>3249</v>
      </c>
    </row>
    <row collapsed="false" customFormat="false" customHeight="true" hidden="false" ht="12.8" outlineLevel="0" r="58">
      <c r="A58" s="16" t="n">
        <v>53</v>
      </c>
      <c r="B58" s="17"/>
      <c r="D58" s="18" t="n">
        <v>1</v>
      </c>
      <c r="E58" s="19" t="n">
        <v>8</v>
      </c>
      <c r="G58" s="20" t="n">
        <f aca="false">IF(OR(D58="",E58="",VALUE(D58)&gt;4,VALUE(E58)&gt;4),"",IF(VALUE(D58)&lt;=4,VALUE(D58),""))</f>
        <v>0</v>
      </c>
      <c r="H58" s="20" t="n">
        <f aca="false">IF(OR(D58="",E58="",VALUE(D58)&gt;4,VALUE(E58)&gt;4),"",IF(VALUE(E58)&lt;=4,VALUE(E58),""))</f>
        <v>0</v>
      </c>
      <c r="I58" s="6" t="n">
        <f aca="false">IF(G58="",0,RANK(G58,x,1)+(COUNTIF(x,G58)-1)/2)</f>
        <v>0</v>
      </c>
      <c r="J58" s="6" t="n">
        <f aca="false">IF(H58="",0,RANK(H58,y,1)+(COUNTIF(y,H58)-1)/2)</f>
        <v>0</v>
      </c>
      <c r="K58" s="6" t="n">
        <f aca="false">I58*J58</f>
        <v>0</v>
      </c>
      <c r="L58" s="6" t="n">
        <f aca="false">I58^2</f>
        <v>0</v>
      </c>
      <c r="M58" s="6" t="n">
        <f aca="false">J58^2</f>
        <v>0</v>
      </c>
    </row>
    <row collapsed="false" customFormat="false" customHeight="true" hidden="false" ht="12.8" outlineLevel="0" r="59">
      <c r="A59" s="16" t="n">
        <v>54</v>
      </c>
      <c r="B59" s="17"/>
      <c r="D59" s="18" t="n">
        <f aca="false">E59</f>
        <v>3</v>
      </c>
      <c r="E59" s="19" t="n">
        <v>3</v>
      </c>
      <c r="G59" s="20" t="n">
        <f aca="false">IF(OR(D59="",E59="",VALUE(D59)&gt;4,VALUE(E59)&gt;4),"",IF(VALUE(D59)&lt;=4,VALUE(D59),""))</f>
        <v>3</v>
      </c>
      <c r="H59" s="20" t="n">
        <f aca="false">IF(OR(D59="",E59="",VALUE(D59)&gt;4,VALUE(E59)&gt;4),"",IF(VALUE(E59)&lt;=4,VALUE(E59),""))</f>
        <v>3</v>
      </c>
      <c r="I59" s="6" t="n">
        <f aca="false">IF(G59="",0,RANK(G59,x,1)+(COUNTIF(x,G59)-1)/2)</f>
        <v>42.5</v>
      </c>
      <c r="J59" s="6" t="n">
        <f aca="false">IF(H59="",0,RANK(H59,y,1)+(COUNTIF(y,H59)-1)/2)</f>
        <v>45.5</v>
      </c>
      <c r="K59" s="6" t="n">
        <f aca="false">I59*J59</f>
        <v>1933.75</v>
      </c>
      <c r="L59" s="6" t="n">
        <f aca="false">I59^2</f>
        <v>1806.25</v>
      </c>
      <c r="M59" s="6" t="n">
        <f aca="false">J59^2</f>
        <v>2070.25</v>
      </c>
    </row>
    <row collapsed="false" customFormat="false" customHeight="true" hidden="false" ht="12.8" outlineLevel="0" r="60">
      <c r="A60" s="16" t="n">
        <v>55</v>
      </c>
      <c r="B60" s="17"/>
      <c r="D60" s="18" t="n">
        <v>3</v>
      </c>
      <c r="E60" s="19" t="n">
        <v>1</v>
      </c>
      <c r="G60" s="20" t="n">
        <f aca="false">IF(OR(D60="",E60="",VALUE(D60)&gt;4,VALUE(E60)&gt;4),"",IF(VALUE(D60)&lt;=4,VALUE(D60),""))</f>
        <v>3</v>
      </c>
      <c r="H60" s="20" t="n">
        <f aca="false">IF(OR(D60="",E60="",VALUE(D60)&gt;4,VALUE(E60)&gt;4),"",IF(VALUE(E60)&lt;=4,VALUE(E60),""))</f>
        <v>1</v>
      </c>
      <c r="I60" s="6" t="n">
        <f aca="false">IF(G60="",0,RANK(G60,x,1)+(COUNTIF(x,G60)-1)/2)</f>
        <v>42.5</v>
      </c>
      <c r="J60" s="6" t="n">
        <f aca="false">IF(H60="",0,RANK(H60,y,1)+(COUNTIF(y,H60)-1)/2)</f>
        <v>20</v>
      </c>
      <c r="K60" s="6" t="n">
        <f aca="false">I60*J60</f>
        <v>850</v>
      </c>
      <c r="L60" s="6" t="n">
        <f aca="false">I60^2</f>
        <v>1806.25</v>
      </c>
      <c r="M60" s="6" t="n">
        <f aca="false">J60^2</f>
        <v>400</v>
      </c>
    </row>
    <row collapsed="false" customFormat="false" customHeight="true" hidden="false" ht="12.8" outlineLevel="0" r="61">
      <c r="A61" s="16" t="n">
        <v>56</v>
      </c>
      <c r="B61" s="17"/>
      <c r="D61" s="18" t="n">
        <v>2</v>
      </c>
      <c r="E61" s="19" t="n">
        <v>1</v>
      </c>
      <c r="G61" s="20" t="n">
        <f aca="false">IF(OR(D61="",E61="",VALUE(D61)&gt;4,VALUE(E61)&gt;4),"",IF(VALUE(D61)&lt;=4,VALUE(D61),""))</f>
        <v>2</v>
      </c>
      <c r="H61" s="20" t="n">
        <f aca="false">IF(OR(D61="",E61="",VALUE(D61)&gt;4,VALUE(E61)&gt;4),"",IF(VALUE(E61)&lt;=4,VALUE(E61),""))</f>
        <v>1</v>
      </c>
      <c r="I61" s="6" t="n">
        <f aca="false">IF(G61="",0,RANK(G61,x,1)+(COUNTIF(x,G61)-1)/2)</f>
        <v>28.5</v>
      </c>
      <c r="J61" s="6" t="n">
        <f aca="false">IF(H61="",0,RANK(H61,y,1)+(COUNTIF(y,H61)-1)/2)</f>
        <v>20</v>
      </c>
      <c r="K61" s="6" t="n">
        <f aca="false">I61*J61</f>
        <v>570</v>
      </c>
      <c r="L61" s="6" t="n">
        <f aca="false">I61^2</f>
        <v>812.25</v>
      </c>
      <c r="M61" s="6" t="n">
        <f aca="false">J61^2</f>
        <v>400</v>
      </c>
    </row>
    <row collapsed="false" customFormat="false" customHeight="true" hidden="false" ht="12.8" outlineLevel="0" r="62">
      <c r="A62" s="16" t="n">
        <v>57</v>
      </c>
      <c r="B62" s="17"/>
      <c r="D62" s="18" t="n">
        <v>3</v>
      </c>
      <c r="E62" s="19" t="n">
        <v>2</v>
      </c>
      <c r="G62" s="20" t="n">
        <f aca="false">IF(OR(D62="",E62="",VALUE(D62)&gt;4,VALUE(E62)&gt;4),"",IF(VALUE(D62)&lt;=4,VALUE(D62),""))</f>
        <v>3</v>
      </c>
      <c r="H62" s="20" t="n">
        <f aca="false">IF(OR(D62="",E62="",VALUE(D62)&gt;4,VALUE(E62)&gt;4),"",IF(VALUE(E62)&lt;=4,VALUE(E62),""))</f>
        <v>2</v>
      </c>
      <c r="I62" s="6" t="n">
        <f aca="false">IF(G62="",0,RANK(G62,x,1)+(COUNTIF(x,G62)-1)/2)</f>
        <v>42.5</v>
      </c>
      <c r="J62" s="6" t="n">
        <f aca="false">IF(H62="",0,RANK(H62,y,1)+(COUNTIF(y,H62)-1)/2)</f>
        <v>31.5</v>
      </c>
      <c r="K62" s="6" t="n">
        <f aca="false">I62*J62</f>
        <v>1338.75</v>
      </c>
      <c r="L62" s="6" t="n">
        <f aca="false">I62^2</f>
        <v>1806.25</v>
      </c>
      <c r="M62" s="6" t="n">
        <f aca="false">J62^2</f>
        <v>992.25</v>
      </c>
    </row>
    <row collapsed="false" customFormat="false" customHeight="true" hidden="false" ht="12.8" outlineLevel="0" r="63">
      <c r="A63" s="16" t="n">
        <v>58</v>
      </c>
      <c r="B63" s="17"/>
      <c r="D63" s="18" t="n">
        <f aca="false">E63</f>
        <v>2</v>
      </c>
      <c r="E63" s="19" t="n">
        <v>2</v>
      </c>
      <c r="G63" s="20" t="n">
        <f aca="false">IF(OR(D63="",E63="",VALUE(D63)&gt;4,VALUE(E63)&gt;4),"",IF(VALUE(D63)&lt;=4,VALUE(D63),""))</f>
        <v>2</v>
      </c>
      <c r="H63" s="20" t="n">
        <f aca="false">IF(OR(D63="",E63="",VALUE(D63)&gt;4,VALUE(E63)&gt;4),"",IF(VALUE(E63)&lt;=4,VALUE(E63),""))</f>
        <v>2</v>
      </c>
      <c r="I63" s="6" t="n">
        <f aca="false">IF(G63="",0,RANK(G63,x,1)+(COUNTIF(x,G63)-1)/2)</f>
        <v>28.5</v>
      </c>
      <c r="J63" s="6" t="n">
        <f aca="false">IF(H63="",0,RANK(H63,y,1)+(COUNTIF(y,H63)-1)/2)</f>
        <v>31.5</v>
      </c>
      <c r="K63" s="6" t="n">
        <f aca="false">I63*J63</f>
        <v>897.75</v>
      </c>
      <c r="L63" s="6" t="n">
        <f aca="false">I63^2</f>
        <v>812.25</v>
      </c>
      <c r="M63" s="6" t="n">
        <f aca="false">J63^2</f>
        <v>992.25</v>
      </c>
    </row>
    <row collapsed="false" customFormat="false" customHeight="true" hidden="false" ht="12.8" outlineLevel="0" r="64">
      <c r="A64" s="16" t="n">
        <v>59</v>
      </c>
      <c r="B64" s="17"/>
      <c r="D64" s="18" t="n">
        <v>3</v>
      </c>
      <c r="E64" s="19" t="n">
        <v>4</v>
      </c>
      <c r="G64" s="20" t="n">
        <f aca="false">IF(OR(D64="",E64="",VALUE(D64)&gt;4,VALUE(E64)&gt;4),"",IF(VALUE(D64)&lt;=4,VALUE(D64),""))</f>
        <v>3</v>
      </c>
      <c r="H64" s="20" t="n">
        <f aca="false">IF(OR(D64="",E64="",VALUE(D64)&gt;4,VALUE(E64)&gt;4),"",IF(VALUE(E64)&lt;=4,VALUE(E64),""))</f>
        <v>4</v>
      </c>
      <c r="I64" s="6" t="n">
        <f aca="false">IF(G64="",0,RANK(G64,x,1)+(COUNTIF(x,G64)-1)/2)</f>
        <v>42.5</v>
      </c>
      <c r="J64" s="6" t="n">
        <f aca="false">IF(H64="",0,RANK(H64,y,1)+(COUNTIF(y,H64)-1)/2)</f>
        <v>57</v>
      </c>
      <c r="K64" s="6" t="n">
        <f aca="false">I64*J64</f>
        <v>2422.5</v>
      </c>
      <c r="L64" s="6" t="n">
        <f aca="false">I64^2</f>
        <v>1806.25</v>
      </c>
      <c r="M64" s="6" t="n">
        <f aca="false">J64^2</f>
        <v>3249</v>
      </c>
    </row>
    <row collapsed="false" customFormat="false" customHeight="true" hidden="false" ht="12.8" outlineLevel="0" r="65">
      <c r="A65" s="16" t="n">
        <v>62</v>
      </c>
      <c r="B65" s="17"/>
      <c r="D65" s="18" t="n">
        <v>1</v>
      </c>
      <c r="E65" s="19" t="n">
        <v>4</v>
      </c>
      <c r="G65" s="20" t="n">
        <f aca="false">IF(OR(D65="",E65="",VALUE(D65)&gt;4,VALUE(E65)&gt;4),"",IF(VALUE(D65)&lt;=4,VALUE(D65),""))</f>
        <v>1</v>
      </c>
      <c r="H65" s="20" t="n">
        <f aca="false">IF(OR(D65="",E65="",VALUE(D65)&gt;4,VALUE(E65)&gt;4),"",IF(VALUE(E65)&lt;=4,VALUE(E65),""))</f>
        <v>4</v>
      </c>
      <c r="I65" s="6" t="n">
        <f aca="false">IF(G65="",0,RANK(G65,x,1)+(COUNTIF(x,G65)-1)/2)</f>
        <v>20</v>
      </c>
      <c r="J65" s="6" t="n">
        <f aca="false">IF(H65="",0,RANK(H65,y,1)+(COUNTIF(y,H65)-1)/2)</f>
        <v>57</v>
      </c>
      <c r="K65" s="6" t="n">
        <f aca="false">I65*J65</f>
        <v>1140</v>
      </c>
      <c r="L65" s="6" t="n">
        <f aca="false">I65^2</f>
        <v>400</v>
      </c>
      <c r="M65" s="6" t="n">
        <f aca="false">J65^2</f>
        <v>3249</v>
      </c>
    </row>
    <row collapsed="false" customFormat="false" customHeight="true" hidden="false" ht="12.8" outlineLevel="0" r="66">
      <c r="A66" s="16" t="n">
        <v>63</v>
      </c>
      <c r="B66" s="17"/>
      <c r="D66" s="18" t="n">
        <v>0</v>
      </c>
      <c r="E66" s="19" t="n">
        <v>3</v>
      </c>
      <c r="G66" s="20" t="n">
        <f aca="false">IF(OR(D66="",E66="",VALUE(D66)&gt;4,VALUE(E66)&gt;4),"",IF(VALUE(D66)&lt;=4,VALUE(D66),""))</f>
        <v>0</v>
      </c>
      <c r="H66" s="20" t="n">
        <f aca="false">IF(OR(D66="",E66="",VALUE(D66)&gt;4,VALUE(E66)&gt;4),"",IF(VALUE(E66)&lt;=4,VALUE(E66),""))</f>
        <v>3</v>
      </c>
      <c r="I66" s="6" t="n">
        <f aca="false">IF(G66="",0,RANK(G66,x,1)+(COUNTIF(x,G66)-1)/2)</f>
        <v>11</v>
      </c>
      <c r="J66" s="6" t="n">
        <f aca="false">IF(H66="",0,RANK(H66,y,1)+(COUNTIF(y,H66)-1)/2)</f>
        <v>45.5</v>
      </c>
      <c r="K66" s="6" t="n">
        <f aca="false">I66*J66</f>
        <v>500.5</v>
      </c>
      <c r="L66" s="6" t="n">
        <f aca="false">I66^2</f>
        <v>121</v>
      </c>
      <c r="M66" s="6" t="n">
        <f aca="false">J66^2</f>
        <v>2070.25</v>
      </c>
    </row>
    <row collapsed="false" customFormat="false" customHeight="true" hidden="false" ht="12.8" outlineLevel="0" r="67">
      <c r="A67" s="16" t="n">
        <v>64</v>
      </c>
      <c r="B67" s="17"/>
      <c r="D67" s="18" t="n">
        <v>8</v>
      </c>
      <c r="E67" s="19" t="n">
        <v>0</v>
      </c>
      <c r="G67" s="20" t="n">
        <f aca="false">IF(OR(D67="",E67="",VALUE(D67)&gt;4,VALUE(E67)&gt;4),"",IF(VALUE(D67)&lt;=4,VALUE(D67),""))</f>
        <v>0</v>
      </c>
      <c r="H67" s="20" t="n">
        <f aca="false">IF(OR(D67="",E67="",VALUE(D67)&gt;4,VALUE(E67)&gt;4),"",IF(VALUE(E67)&lt;=4,VALUE(E67),""))</f>
        <v>0</v>
      </c>
      <c r="I67" s="6" t="n">
        <f aca="false">IF(G67="",0,RANK(G67,x,1)+(COUNTIF(x,G67)-1)/2)</f>
        <v>0</v>
      </c>
      <c r="J67" s="6" t="n">
        <f aca="false">IF(H67="",0,RANK(H67,y,1)+(COUNTIF(y,H67)-1)/2)</f>
        <v>0</v>
      </c>
      <c r="K67" s="6" t="n">
        <f aca="false">I67*J67</f>
        <v>0</v>
      </c>
      <c r="L67" s="6" t="n">
        <f aca="false">I67^2</f>
        <v>0</v>
      </c>
      <c r="M67" s="6" t="n">
        <f aca="false">J67^2</f>
        <v>0</v>
      </c>
    </row>
    <row collapsed="false" customFormat="false" customHeight="true" hidden="false" ht="12.8" outlineLevel="0" r="68">
      <c r="A68" s="16" t="n">
        <v>65</v>
      </c>
      <c r="B68" s="17"/>
      <c r="D68" s="18" t="n">
        <v>0</v>
      </c>
      <c r="E68" s="19" t="n">
        <v>3</v>
      </c>
      <c r="G68" s="20" t="n">
        <f aca="false">IF(OR(D68="",E68="",VALUE(D68)&gt;4,VALUE(E68)&gt;4),"",IF(VALUE(D68)&lt;=4,VALUE(D68),""))</f>
        <v>0</v>
      </c>
      <c r="H68" s="20" t="n">
        <f aca="false">IF(OR(D68="",E68="",VALUE(D68)&gt;4,VALUE(E68)&gt;4),"",IF(VALUE(E68)&lt;=4,VALUE(E68),""))</f>
        <v>3</v>
      </c>
      <c r="I68" s="6" t="n">
        <f aca="false">IF(G68="",0,RANK(G68,x,1)+(COUNTIF(x,G68)-1)/2)</f>
        <v>11</v>
      </c>
      <c r="J68" s="6" t="n">
        <f aca="false">IF(H68="",0,RANK(H68,y,1)+(COUNTIF(y,H68)-1)/2)</f>
        <v>45.5</v>
      </c>
      <c r="K68" s="6" t="n">
        <f aca="false">I68*J68</f>
        <v>500.5</v>
      </c>
      <c r="L68" s="6" t="n">
        <f aca="false">I68^2</f>
        <v>121</v>
      </c>
      <c r="M68" s="6" t="n">
        <f aca="false">J68^2</f>
        <v>2070.25</v>
      </c>
    </row>
    <row collapsed="false" customFormat="false" customHeight="true" hidden="false" ht="12.8" outlineLevel="0" r="69">
      <c r="A69" s="16" t="n">
        <v>66</v>
      </c>
      <c r="B69" s="17"/>
      <c r="D69" s="18" t="n">
        <v>2</v>
      </c>
      <c r="E69" s="19" t="n">
        <v>0</v>
      </c>
      <c r="G69" s="20" t="n">
        <f aca="false">IF(OR(D69="",E69="",VALUE(D69)&gt;4,VALUE(E69)&gt;4),"",IF(VALUE(D69)&lt;=4,VALUE(D69),""))</f>
        <v>2</v>
      </c>
      <c r="H69" s="20" t="n">
        <f aca="false">IF(OR(D69="",E69="",VALUE(D69)&gt;4,VALUE(E69)&gt;4),"",IF(VALUE(E69)&lt;=4,VALUE(E69),""))</f>
        <v>0</v>
      </c>
      <c r="I69" s="6" t="n">
        <f aca="false">IF(G69="",0,RANK(G69,x,1)+(COUNTIF(x,G69)-1)/2)</f>
        <v>28.5</v>
      </c>
      <c r="J69" s="6" t="n">
        <f aca="false">IF(H69="",0,RANK(H69,y,1)+(COUNTIF(y,H69)-1)/2)</f>
        <v>10.5</v>
      </c>
      <c r="K69" s="6" t="n">
        <f aca="false">I69*J69</f>
        <v>299.25</v>
      </c>
      <c r="L69" s="6" t="n">
        <f aca="false">I69^2</f>
        <v>812.25</v>
      </c>
      <c r="M69" s="6" t="n">
        <f aca="false">J69^2</f>
        <v>110.25</v>
      </c>
    </row>
    <row collapsed="false" customFormat="false" customHeight="true" hidden="false" ht="12.8" outlineLevel="0" r="70">
      <c r="A70" s="16" t="n">
        <v>67</v>
      </c>
      <c r="B70" s="17"/>
      <c r="D70" s="18" t="n">
        <v>3</v>
      </c>
      <c r="E70" s="19" t="n">
        <v>2</v>
      </c>
      <c r="G70" s="20" t="n">
        <f aca="false">IF(OR(D70="",E70="",VALUE(D70)&gt;4,VALUE(E70)&gt;4),"",IF(VALUE(D70)&lt;=4,VALUE(D70),""))</f>
        <v>3</v>
      </c>
      <c r="H70" s="20" t="n">
        <f aca="false">IF(OR(D70="",E70="",VALUE(D70)&gt;4,VALUE(E70)&gt;4),"",IF(VALUE(E70)&lt;=4,VALUE(E70),""))</f>
        <v>2</v>
      </c>
      <c r="I70" s="6" t="n">
        <f aca="false">IF(G70="",0,RANK(G70,x,1)+(COUNTIF(x,G70)-1)/2)</f>
        <v>42.5</v>
      </c>
      <c r="J70" s="6" t="n">
        <f aca="false">IF(H70="",0,RANK(H70,y,1)+(COUNTIF(y,H70)-1)/2)</f>
        <v>31.5</v>
      </c>
      <c r="K70" s="6" t="n">
        <f aca="false">I70*J70</f>
        <v>1338.75</v>
      </c>
      <c r="L70" s="6" t="n">
        <f aca="false">I70^2</f>
        <v>1806.25</v>
      </c>
      <c r="M70" s="6" t="n">
        <f aca="false">J70^2</f>
        <v>992.25</v>
      </c>
    </row>
    <row collapsed="false" customFormat="false" customHeight="true" hidden="false" ht="12.8" outlineLevel="0" r="71">
      <c r="A71" s="16" t="n">
        <v>68</v>
      </c>
      <c r="B71" s="17"/>
      <c r="D71" s="18" t="n">
        <v>-2</v>
      </c>
      <c r="E71" s="19" t="n">
        <v>1</v>
      </c>
      <c r="G71" s="20" t="n">
        <f aca="false">IF(OR(D71="",E71="",VALUE(D71)&gt;4,VALUE(E71)&gt;4),"",IF(VALUE(D71)&lt;=4,VALUE(D71),""))</f>
        <v>-2</v>
      </c>
      <c r="H71" s="20" t="n">
        <f aca="false">IF(OR(D71="",E71="",VALUE(D71)&gt;4,VALUE(E71)&gt;4),"",IF(VALUE(E71)&lt;=4,VALUE(E71),""))</f>
        <v>1</v>
      </c>
      <c r="I71" s="6" t="n">
        <f aca="false">IF(G71="",0,RANK(G71,x,1)+(COUNTIF(x,G71)-1)/2)</f>
        <v>4</v>
      </c>
      <c r="J71" s="6" t="n">
        <f aca="false">IF(H71="",0,RANK(H71,y,1)+(COUNTIF(y,H71)-1)/2)</f>
        <v>20</v>
      </c>
      <c r="K71" s="6" t="n">
        <f aca="false">I71*J71</f>
        <v>80</v>
      </c>
      <c r="L71" s="6" t="n">
        <f aca="false">I71^2</f>
        <v>16</v>
      </c>
      <c r="M71" s="6" t="n">
        <f aca="false">J71^2</f>
        <v>400</v>
      </c>
    </row>
    <row collapsed="false" customFormat="false" customHeight="true" hidden="false" ht="12.8" outlineLevel="0" r="72">
      <c r="A72" s="16" t="n">
        <v>69</v>
      </c>
      <c r="B72" s="17"/>
      <c r="D72" s="18" t="n">
        <v>1</v>
      </c>
      <c r="E72" s="19" t="n">
        <v>-1</v>
      </c>
      <c r="G72" s="20" t="n">
        <f aca="false">IF(OR(D72="",E72="",VALUE(D72)&gt;4,VALUE(E72)&gt;4),"",IF(VALUE(D72)&lt;=4,VALUE(D72),""))</f>
        <v>1</v>
      </c>
      <c r="H72" s="20" t="n">
        <f aca="false">IF(OR(D72="",E72="",VALUE(D72)&gt;4,VALUE(E72)&gt;4),"",IF(VALUE(E72)&lt;=4,VALUE(E72),""))</f>
        <v>-1</v>
      </c>
      <c r="I72" s="6" t="n">
        <f aca="false">IF(G72="",0,RANK(G72,x,1)+(COUNTIF(x,G72)-1)/2)</f>
        <v>20</v>
      </c>
      <c r="J72" s="6" t="n">
        <f aca="false">IF(H72="",0,RANK(H72,y,1)+(COUNTIF(y,H72)-1)/2)</f>
        <v>5</v>
      </c>
      <c r="K72" s="6" t="n">
        <f aca="false">I72*J72</f>
        <v>100</v>
      </c>
      <c r="L72" s="6" t="n">
        <f aca="false">I72^2</f>
        <v>400</v>
      </c>
      <c r="M72" s="6" t="n">
        <f aca="false">J72^2</f>
        <v>25</v>
      </c>
    </row>
    <row collapsed="false" customFormat="false" customHeight="true" hidden="false" ht="12.8" outlineLevel="0" r="73">
      <c r="A73" s="16" t="n">
        <v>70</v>
      </c>
      <c r="B73" s="17"/>
      <c r="D73" s="18" t="n">
        <f aca="false">E73</f>
        <v>-2</v>
      </c>
      <c r="E73" s="19" t="n">
        <v>-2</v>
      </c>
      <c r="G73" s="20" t="n">
        <f aca="false">IF(OR(D73="",E73="",VALUE(D73)&gt;4,VALUE(E73)&gt;4),"",IF(VALUE(D73)&lt;=4,VALUE(D73),""))</f>
        <v>-2</v>
      </c>
      <c r="H73" s="20" t="n">
        <f aca="false">IF(OR(D73="",E73="",VALUE(D73)&gt;4,VALUE(E73)&gt;4),"",IF(VALUE(E73)&lt;=4,VALUE(E73),""))</f>
        <v>-2</v>
      </c>
      <c r="I73" s="6" t="n">
        <f aca="false">IF(G73="",0,RANK(G73,x,1)+(COUNTIF(x,G73)-1)/2)</f>
        <v>4</v>
      </c>
      <c r="J73" s="6" t="n">
        <f aca="false">IF(H73="",0,RANK(H73,y,1)+(COUNTIF(y,H73)-1)/2)</f>
        <v>3.5</v>
      </c>
      <c r="K73" s="6" t="n">
        <f aca="false">I73*J73</f>
        <v>14</v>
      </c>
      <c r="L73" s="6" t="n">
        <f aca="false">I73^2</f>
        <v>16</v>
      </c>
      <c r="M73" s="6" t="n">
        <f aca="false">J73^2</f>
        <v>12.25</v>
      </c>
    </row>
    <row collapsed="false" customFormat="false" customHeight="true" hidden="false" ht="12.8" outlineLevel="0" r="74">
      <c r="A74" s="16" t="n">
        <v>71</v>
      </c>
      <c r="B74" s="17"/>
      <c r="D74" s="18" t="n">
        <v>1</v>
      </c>
      <c r="E74" s="19" t="n">
        <v>1</v>
      </c>
      <c r="G74" s="20" t="n">
        <f aca="false">IF(OR(D74="",E74="",VALUE(D74)&gt;4,VALUE(E74)&gt;4),"",IF(VALUE(D74)&lt;=4,VALUE(D74),""))</f>
        <v>1</v>
      </c>
      <c r="H74" s="20" t="n">
        <f aca="false">IF(OR(D74="",E74="",VALUE(D74)&gt;4,VALUE(E74)&gt;4),"",IF(VALUE(E74)&lt;=4,VALUE(E74),""))</f>
        <v>1</v>
      </c>
      <c r="I74" s="6" t="n">
        <f aca="false">IF(G74="",0,RANK(G74,x,1)+(COUNTIF(x,G74)-1)/2)</f>
        <v>20</v>
      </c>
      <c r="J74" s="6" t="n">
        <f aca="false">IF(H74="",0,RANK(H74,y,1)+(COUNTIF(y,H74)-1)/2)</f>
        <v>20</v>
      </c>
      <c r="K74" s="6" t="n">
        <f aca="false">I74*J74</f>
        <v>400</v>
      </c>
      <c r="L74" s="6" t="n">
        <f aca="false">I74^2</f>
        <v>400</v>
      </c>
      <c r="M74" s="6" t="n">
        <f aca="false">J74^2</f>
        <v>400</v>
      </c>
    </row>
    <row collapsed="false" customFormat="false" customHeight="true" hidden="false" ht="12.8" outlineLevel="0" r="75">
      <c r="A75" s="16" t="n">
        <v>72</v>
      </c>
      <c r="B75" s="17"/>
      <c r="D75" s="18" t="n">
        <v>-2</v>
      </c>
      <c r="E75" s="19" t="n">
        <v>-4</v>
      </c>
      <c r="G75" s="20" t="n">
        <f aca="false">IF(OR(D75="",E75="",VALUE(D75)&gt;4,VALUE(E75)&gt;4),"",IF(VALUE(D75)&lt;=4,VALUE(D75),""))</f>
        <v>-2</v>
      </c>
      <c r="H75" s="20" t="n">
        <f aca="false">IF(OR(D75="",E75="",VALUE(D75)&gt;4,VALUE(E75)&gt;4),"",IF(VALUE(E75)&lt;=4,VALUE(E75),""))</f>
        <v>-4</v>
      </c>
      <c r="I75" s="6" t="n">
        <f aca="false">IF(G75="",0,RANK(G75,x,1)+(COUNTIF(x,G75)-1)/2)</f>
        <v>4</v>
      </c>
      <c r="J75" s="6" t="n">
        <f aca="false">IF(H75="",0,RANK(H75,y,1)+(COUNTIF(y,H75)-1)/2)</f>
        <v>1.5</v>
      </c>
      <c r="K75" s="6" t="n">
        <f aca="false">I75*J75</f>
        <v>6</v>
      </c>
      <c r="L75" s="6" t="n">
        <f aca="false">I75^2</f>
        <v>16</v>
      </c>
      <c r="M75" s="6" t="n">
        <f aca="false">J75^2</f>
        <v>2.25</v>
      </c>
    </row>
    <row collapsed="false" customFormat="false" customHeight="true" hidden="false" ht="12.8" outlineLevel="0" r="76">
      <c r="A76" s="16" t="n">
        <v>73</v>
      </c>
      <c r="B76" s="17"/>
      <c r="D76" s="18" t="n">
        <v>-3</v>
      </c>
      <c r="E76" s="19" t="n">
        <v>-2</v>
      </c>
      <c r="G76" s="20" t="n">
        <f aca="false">IF(OR(D76="",E76="",VALUE(D76)&gt;4,VALUE(E76)&gt;4),"",IF(VALUE(D76)&lt;=4,VALUE(D76),""))</f>
        <v>-3</v>
      </c>
      <c r="H76" s="20" t="n">
        <f aca="false">IF(OR(D76="",E76="",VALUE(D76)&gt;4,VALUE(E76)&gt;4),"",IF(VALUE(E76)&lt;=4,VALUE(E76),""))</f>
        <v>-2</v>
      </c>
      <c r="I76" s="6" t="n">
        <f aca="false">IF(G76="",0,RANK(G76,x,1)+(COUNTIF(x,G76)-1)/2)</f>
        <v>1.5</v>
      </c>
      <c r="J76" s="6" t="n">
        <f aca="false">IF(H76="",0,RANK(H76,y,1)+(COUNTIF(y,H76)-1)/2)</f>
        <v>3.5</v>
      </c>
      <c r="K76" s="6" t="n">
        <f aca="false">I76*J76</f>
        <v>5.25</v>
      </c>
      <c r="L76" s="6" t="n">
        <f aca="false">I76^2</f>
        <v>2.25</v>
      </c>
      <c r="M76" s="6" t="n">
        <f aca="false">J76^2</f>
        <v>12.25</v>
      </c>
    </row>
    <row collapsed="false" customFormat="false" customHeight="true" hidden="false" ht="12.8" outlineLevel="0" r="77">
      <c r="A77" s="16" t="n">
        <v>74</v>
      </c>
      <c r="B77" s="17"/>
      <c r="D77" s="18" t="n">
        <v>0</v>
      </c>
      <c r="E77" s="19" t="n">
        <v>9</v>
      </c>
      <c r="G77" s="20" t="n">
        <f aca="false">IF(OR(D77="",E77="",VALUE(D77)&gt;4,VALUE(E77)&gt;4),"",IF(VALUE(D77)&lt;=4,VALUE(D77),""))</f>
        <v>0</v>
      </c>
      <c r="H77" s="20" t="n">
        <f aca="false">IF(OR(D77="",E77="",VALUE(D77)&gt;4,VALUE(E77)&gt;4),"",IF(VALUE(E77)&lt;=4,VALUE(E77),""))</f>
        <v>0</v>
      </c>
      <c r="I77" s="6" t="n">
        <f aca="false">IF(G77="",0,RANK(G77,x,1)+(COUNTIF(x,G77)-1)/2)</f>
        <v>0</v>
      </c>
      <c r="J77" s="6" t="n">
        <f aca="false">IF(H77="",0,RANK(H77,y,1)+(COUNTIF(y,H77)-1)/2)</f>
        <v>0</v>
      </c>
      <c r="K77" s="6" t="n">
        <f aca="false">I77*J77</f>
        <v>0</v>
      </c>
      <c r="L77" s="6" t="n">
        <f aca="false">I77^2</f>
        <v>0</v>
      </c>
      <c r="M77" s="6" t="n">
        <f aca="false">J77^2</f>
        <v>0</v>
      </c>
    </row>
    <row collapsed="false" customFormat="false" customHeight="true" hidden="false" ht="12.8" outlineLevel="0" r="78">
      <c r="A78" s="16" t="n">
        <v>76</v>
      </c>
      <c r="B78" s="17"/>
      <c r="D78" s="18" t="n">
        <v>-3</v>
      </c>
      <c r="E78" s="19" t="n">
        <v>-4</v>
      </c>
      <c r="G78" s="20" t="n">
        <f aca="false">IF(OR(D78="",E78="",VALUE(D78)&gt;4,VALUE(E78)&gt;4),"",IF(VALUE(D78)&lt;=4,VALUE(D78),""))</f>
        <v>-3</v>
      </c>
      <c r="H78" s="20" t="n">
        <f aca="false">IF(OR(D78="",E78="",VALUE(D78)&gt;4,VALUE(E78)&gt;4),"",IF(VALUE(E78)&lt;=4,VALUE(E78),""))</f>
        <v>-4</v>
      </c>
      <c r="I78" s="6" t="n">
        <f aca="false">IF(G78="",0,RANK(G78,x,1)+(COUNTIF(x,G78)-1)/2)</f>
        <v>1.5</v>
      </c>
      <c r="J78" s="6" t="n">
        <f aca="false">IF(H78="",0,RANK(H78,y,1)+(COUNTIF(y,H78)-1)/2)</f>
        <v>1.5</v>
      </c>
      <c r="K78" s="6" t="n">
        <f aca="false">I78*J78</f>
        <v>2.25</v>
      </c>
      <c r="L78" s="6" t="n">
        <f aca="false">I78^2</f>
        <v>2.25</v>
      </c>
      <c r="M78" s="6" t="n">
        <f aca="false">J78^2</f>
        <v>2.25</v>
      </c>
    </row>
    <row collapsed="false" customFormat="false" customHeight="true" hidden="false" ht="12.8" outlineLevel="0" r="79">
      <c r="B79" s="2"/>
      <c r="C79" s="3"/>
      <c r="D79" s="4"/>
      <c r="E79" s="5"/>
      <c r="F79" s="21" t="s">
        <v>14</v>
      </c>
      <c r="G79" s="22" t="n">
        <f aca="false">SUM(G8:G78)</f>
        <v>109</v>
      </c>
      <c r="H79" s="22" t="n">
        <f aca="false">SUM(H8:H78)</f>
        <v>102</v>
      </c>
      <c r="I79" s="22" t="n">
        <f aca="false">SUM(I8:I78)</f>
        <v>1891</v>
      </c>
      <c r="J79" s="22" t="n">
        <f aca="false">SUM(J8:J78)</f>
        <v>1891</v>
      </c>
      <c r="K79" s="22" t="n">
        <f aca="false">SUM(K8:K78)</f>
        <v>66120</v>
      </c>
      <c r="L79" s="22" t="n">
        <f aca="false">SUM(L8:L78)</f>
        <v>76741</v>
      </c>
      <c r="M79" s="22" t="n">
        <f aca="false">SUM(M8:M78)</f>
        <v>76872.5</v>
      </c>
    </row>
    <row collapsed="false" customFormat="false" customHeight="true" hidden="false" ht="12.8" outlineLevel="0" r="80">
      <c r="B80" s="2"/>
      <c r="C80" s="3"/>
      <c r="D80" s="4"/>
      <c r="E80" s="5"/>
      <c r="K80" s="23"/>
    </row>
    <row collapsed="false" customFormat="false" customHeight="true" hidden="false" ht="12.8" outlineLevel="0" r="81">
      <c r="B81" s="2"/>
      <c r="C81" s="0" t="s">
        <v>15</v>
      </c>
      <c r="D81" s="0" t="n">
        <f aca="false">COUNT(D8:D78)</f>
        <v>71</v>
      </c>
      <c r="E81" s="0" t="n">
        <f aca="false">COUNT(E8:E78)</f>
        <v>71</v>
      </c>
      <c r="F81" s="0" t="s">
        <v>16</v>
      </c>
      <c r="G81" s="4" t="n">
        <f aca="false">COUNT(x)</f>
        <v>61</v>
      </c>
      <c r="H81" s="5" t="n">
        <f aca="false">COUNT(y)</f>
        <v>61</v>
      </c>
      <c r="I81" s="24"/>
      <c r="K81" s="5"/>
      <c r="L81" s="24"/>
      <c r="M81" s="24"/>
    </row>
    <row collapsed="false" customFormat="false" customHeight="true" hidden="false" ht="12.8" outlineLevel="0" r="82">
      <c r="B82" s="2"/>
      <c r="C82" s="3"/>
      <c r="D82" s="4"/>
      <c r="E82" s="5"/>
      <c r="G82" s="24"/>
      <c r="I82" s="24"/>
      <c r="K82" s="24"/>
      <c r="M82" s="24"/>
    </row>
    <row collapsed="false" customFormat="false" customHeight="true" hidden="false" ht="49" outlineLevel="0" r="83">
      <c r="B83" s="2"/>
      <c r="C83" s="3"/>
      <c r="D83" s="4"/>
      <c r="E83" s="5"/>
      <c r="G83" s="25"/>
      <c r="H83" s="21"/>
      <c r="I83" s="25"/>
      <c r="J83" s="26" t="s">
        <v>17</v>
      </c>
      <c r="K83" s="27" t="n">
        <f aca="false">(n*(n+1)^2)/4</f>
        <v>58621</v>
      </c>
      <c r="L83" s="21"/>
      <c r="M83" s="25"/>
    </row>
    <row collapsed="false" customFormat="false" customHeight="false" hidden="false" ht="12.25" outlineLevel="0" r="84">
      <c r="B84" s="2"/>
      <c r="C84" s="3"/>
      <c r="D84" s="4"/>
      <c r="E84" s="5"/>
      <c r="G84" s="25"/>
      <c r="H84" s="21"/>
      <c r="I84" s="25"/>
      <c r="K84" s="25"/>
      <c r="L84" s="21"/>
      <c r="M84" s="25"/>
    </row>
    <row collapsed="false" customFormat="false" customHeight="true" hidden="false" ht="91.75" outlineLevel="0" r="85">
      <c r="B85" s="2"/>
      <c r="C85" s="3"/>
      <c r="D85" s="4"/>
      <c r="E85" s="5"/>
      <c r="G85" s="25"/>
      <c r="H85" s="21"/>
      <c r="I85" s="25"/>
      <c r="J85" s="26" t="s">
        <v>17</v>
      </c>
      <c r="K85" s="28" t="n">
        <f aca="false">(K79-K83)/(((L79-K83)^0.5)*((M79-K83)^0.5))</f>
        <v>0.412358523155884</v>
      </c>
      <c r="L85" s="21"/>
      <c r="M85" s="29" t="s">
        <v>18</v>
      </c>
      <c r="N85" s="30"/>
    </row>
    <row collapsed="false" customFormat="false" customHeight="true" hidden="false" ht="12.8" outlineLevel="0" r="86">
      <c r="B86" s="2"/>
      <c r="C86" s="3"/>
      <c r="D86" s="4"/>
      <c r="E86" s="5"/>
      <c r="G86" s="25"/>
      <c r="H86" s="21"/>
      <c r="I86" s="25"/>
      <c r="K86" s="25"/>
      <c r="L86" s="21"/>
      <c r="M86" s="31"/>
      <c r="N86" s="30"/>
    </row>
    <row collapsed="false" customFormat="false" customHeight="true" hidden="false" ht="12.8" outlineLevel="0" r="87">
      <c r="B87" s="2"/>
      <c r="C87" s="3"/>
      <c r="D87" s="4"/>
      <c r="E87" s="5"/>
      <c r="G87" s="25"/>
      <c r="H87" s="21"/>
      <c r="I87" s="25"/>
      <c r="K87" s="25"/>
      <c r="L87" s="21"/>
      <c r="M87" s="31"/>
      <c r="N87" s="30"/>
    </row>
    <row collapsed="false" customFormat="false" customHeight="true" hidden="false" ht="25.2" outlineLevel="0" r="88">
      <c r="B88" s="2"/>
      <c r="C88" s="32" t="s">
        <v>19</v>
      </c>
      <c r="D88" s="4"/>
      <c r="E88" s="5"/>
      <c r="G88" s="25"/>
      <c r="H88" s="21"/>
      <c r="I88" s="25"/>
      <c r="K88" s="33" t="n">
        <f aca="false">CORREL(RANK(x,x)+(COUNTIF(x,x)-1)/2, RANK(y,y)+(COUNTIF(y,y)-1)/2)</f>
        <v>0.505635869454375</v>
      </c>
      <c r="L88" s="21"/>
      <c r="M88" s="31"/>
      <c r="N88" s="30"/>
    </row>
    <row collapsed="false" customFormat="false" customHeight="true" hidden="false" ht="12.8" outlineLevel="0" r="89">
      <c r="B89" s="2"/>
      <c r="C89" s="3"/>
      <c r="D89" s="4"/>
      <c r="E89" s="5"/>
      <c r="G89" s="25"/>
      <c r="H89" s="21"/>
      <c r="I89" s="25"/>
      <c r="K89" s="25"/>
      <c r="L89" s="21"/>
      <c r="M89" s="31"/>
      <c r="N89" s="30"/>
    </row>
    <row collapsed="false" customFormat="false" customHeight="true" hidden="false" ht="21" outlineLevel="0" r="90">
      <c r="B90" s="2"/>
      <c r="C90" s="34" t="s">
        <v>20</v>
      </c>
      <c r="D90" s="4"/>
      <c r="E90" s="5"/>
      <c r="G90" s="25"/>
      <c r="H90" s="21"/>
      <c r="I90" s="25"/>
      <c r="K90" s="33" t="n">
        <f aca="false">CORREL(RANK(x,x)+(COUNT(x)+1-RANK(x,x)-RANK(x,x,1))/2, RANK(y,y)+(COUNT(y)+1-RANK(y,y)-RANK(y,y,1))/2)</f>
        <v>0.507698450595465</v>
      </c>
      <c r="L90" s="21"/>
      <c r="M90" s="31"/>
      <c r="N90" s="30"/>
    </row>
    <row collapsed="false" customFormat="false" customHeight="true" hidden="false" ht="12.8" outlineLevel="0" r="91">
      <c r="B91" s="2"/>
      <c r="C91" s="3"/>
      <c r="D91" s="4"/>
      <c r="E91" s="5"/>
      <c r="G91" s="25"/>
      <c r="H91" s="21"/>
      <c r="I91" s="25"/>
      <c r="K91" s="25"/>
      <c r="L91" s="21"/>
      <c r="M91" s="25"/>
    </row>
    <row collapsed="false" customFormat="false" customHeight="true" hidden="false" ht="12.8" outlineLevel="0" r="92">
      <c r="B92" s="2"/>
      <c r="C92" s="3" t="s">
        <v>21</v>
      </c>
      <c r="D92" s="4"/>
      <c r="E92" s="5"/>
      <c r="G92" s="25"/>
      <c r="H92" s="21"/>
      <c r="I92" s="25"/>
      <c r="K92" s="25"/>
      <c r="L92" s="21"/>
      <c r="M92" s="25"/>
    </row>
    <row collapsed="false" customFormat="false" customHeight="true" hidden="false" ht="12.8" outlineLevel="0" r="93">
      <c r="B93" s="2"/>
      <c r="C93" s="3"/>
      <c r="D93" s="4"/>
      <c r="E93" s="5"/>
      <c r="G93" s="25"/>
      <c r="H93" s="21"/>
      <c r="I93" s="25"/>
      <c r="K93" s="25"/>
      <c r="L93" s="21"/>
      <c r="M93" s="25"/>
    </row>
    <row collapsed="false" customFormat="false" customHeight="true" hidden="false" ht="12.8" outlineLevel="0" r="94">
      <c r="B94" s="2"/>
      <c r="C94" s="3"/>
      <c r="D94" s="4"/>
      <c r="E94" s="5"/>
      <c r="G94" s="25"/>
      <c r="H94" s="21"/>
      <c r="I94" s="25"/>
      <c r="K94" s="25"/>
      <c r="L94" s="21"/>
      <c r="M94" s="25"/>
    </row>
    <row collapsed="false" customFormat="false" customHeight="true" hidden="false" ht="12.8" outlineLevel="0" r="95">
      <c r="B95" s="2"/>
      <c r="C95" s="3"/>
      <c r="D95" s="4"/>
      <c r="E95" s="5"/>
      <c r="G95" s="25"/>
      <c r="H95" s="21"/>
      <c r="I95" s="25"/>
      <c r="K95" s="25"/>
      <c r="L95" s="21"/>
      <c r="M95" s="25"/>
    </row>
    <row collapsed="false" customFormat="false" customHeight="true" hidden="false" ht="12.8" outlineLevel="0" r="96">
      <c r="B96" s="2"/>
      <c r="C96" s="3"/>
      <c r="D96" s="4"/>
      <c r="E96" s="5"/>
      <c r="G96" s="25"/>
      <c r="H96" s="21"/>
      <c r="I96" s="25"/>
      <c r="K96" s="25"/>
      <c r="L96" s="21"/>
      <c r="M96" s="25"/>
    </row>
    <row collapsed="false" customFormat="false" customHeight="true" hidden="false" ht="12.8" outlineLevel="0" r="97">
      <c r="B97" s="2"/>
      <c r="C97" s="3"/>
      <c r="D97" s="4"/>
      <c r="E97" s="5"/>
      <c r="G97" s="25"/>
      <c r="H97" s="21"/>
      <c r="I97" s="25"/>
      <c r="K97" s="25"/>
      <c r="L97" s="21"/>
      <c r="M97" s="25"/>
    </row>
    <row collapsed="false" customFormat="false" customHeight="true" hidden="false" ht="12.8" outlineLevel="0" r="98">
      <c r="B98" s="2"/>
      <c r="C98" s="3"/>
      <c r="D98" s="4"/>
      <c r="E98" s="5"/>
      <c r="G98" s="24"/>
      <c r="I98" s="24"/>
      <c r="K98" s="24"/>
      <c r="M98" s="24"/>
    </row>
    <row collapsed="false" customFormat="false" customHeight="true" hidden="false" ht="12.8" outlineLevel="0" r="99">
      <c r="B99" s="2"/>
      <c r="C99" s="3"/>
      <c r="D99" s="4"/>
      <c r="E99" s="5"/>
      <c r="G99" s="24"/>
      <c r="H99" s="24"/>
      <c r="I99" s="24"/>
      <c r="K99" s="24"/>
      <c r="L99" s="24"/>
      <c r="M99" s="24"/>
    </row>
    <row collapsed="false" customFormat="false" customHeight="true" hidden="false" ht="12.8" outlineLevel="0" r="100">
      <c r="B100" s="2"/>
      <c r="C100" s="3"/>
      <c r="D100" s="4"/>
      <c r="E100" s="5"/>
    </row>
    <row collapsed="false" customFormat="false" customHeight="true" hidden="false" ht="12.25" outlineLevel="0" r="101">
      <c r="B101" s="2"/>
      <c r="C101" s="3"/>
      <c r="D101" s="4"/>
      <c r="E101" s="5"/>
    </row>
    <row collapsed="false" customFormat="false" customHeight="true" hidden="false" ht="12.25" outlineLevel="0" r="102">
      <c r="B102" s="2"/>
      <c r="C102" s="3"/>
      <c r="D102" s="4"/>
      <c r="E102" s="5"/>
      <c r="G102" s="0" t="s">
        <v>1</v>
      </c>
    </row>
    <row collapsed="false" customFormat="false" customHeight="true" hidden="false" ht="12.25" outlineLevel="0" r="103">
      <c r="B103" s="2"/>
      <c r="C103" s="3"/>
      <c r="D103" s="4"/>
      <c r="E103" s="5"/>
      <c r="P103" s="35" t="s">
        <v>22</v>
      </c>
    </row>
    <row collapsed="false" customFormat="false" customHeight="true" hidden="false" ht="12.25" outlineLevel="0" r="104">
      <c r="B104" s="2"/>
      <c r="C104" s="3"/>
      <c r="D104" s="4"/>
      <c r="E104" s="5"/>
      <c r="G104" s="0" t="s">
        <v>23</v>
      </c>
    </row>
    <row collapsed="false" customFormat="false" customHeight="true" hidden="false" ht="12.25" outlineLevel="0" r="105">
      <c r="B105" s="2"/>
      <c r="C105" s="3"/>
      <c r="D105" s="4"/>
      <c r="E105" s="5"/>
      <c r="Q105" s="0" t="s">
        <v>24</v>
      </c>
      <c r="S105" s="0"/>
    </row>
    <row collapsed="false" customFormat="false" customHeight="true" hidden="false" ht="12.25" outlineLevel="0" r="106">
      <c r="B106" s="7"/>
      <c r="C106" s="36"/>
      <c r="D106" s="37" t="s">
        <v>25</v>
      </c>
      <c r="E106" s="38" t="s">
        <v>24</v>
      </c>
      <c r="G106" s="37" t="s">
        <v>25</v>
      </c>
      <c r="H106" s="38" t="s">
        <v>24</v>
      </c>
      <c r="I106" s="6" t="s">
        <v>26</v>
      </c>
      <c r="J106" s="6" t="s">
        <v>27</v>
      </c>
      <c r="K106" s="6" t="s">
        <v>28</v>
      </c>
      <c r="L106" s="16" t="s">
        <v>29</v>
      </c>
      <c r="P106" s="0" t="s">
        <v>25</v>
      </c>
      <c r="R106" s="39" t="n">
        <v>0</v>
      </c>
      <c r="S106" s="39" t="n">
        <v>1</v>
      </c>
      <c r="T106" s="39" t="n">
        <v>2</v>
      </c>
      <c r="U106" s="39" t="n">
        <v>3</v>
      </c>
      <c r="V106" s="39" t="n">
        <v>4</v>
      </c>
      <c r="W106" s="40" t="s">
        <v>30</v>
      </c>
      <c r="Y106" s="41" t="s">
        <v>31</v>
      </c>
    </row>
    <row collapsed="false" customFormat="false" customHeight="true" hidden="false" ht="12.25" outlineLevel="0" r="107">
      <c r="B107" s="42"/>
      <c r="C107" s="43"/>
      <c r="D107" s="6"/>
      <c r="E107" s="44"/>
      <c r="F107" s="45"/>
      <c r="G107" s="20" t="n">
        <f aca="false">IF(OR(D107="",E107="",VALUE(D107)&gt;4,VALUE(E107)&gt;4),"",IF(VALUE(D107)&lt;=4,VALUE(D107),""))</f>
        <v>0</v>
      </c>
      <c r="H107" s="20" t="n">
        <f aca="false">IF(OR(D107="",E107="",VALUE(D107)&gt;4,VALUE(E107)&gt;4),"",IF(VALUE(E107)&lt;=4,VALUE(E107),""))</f>
        <v>0</v>
      </c>
      <c r="I107" s="6" t="n">
        <f aca="false">IF(G107="",0,(RANK(G107,KFPat,0)))</f>
        <v>0</v>
      </c>
      <c r="J107" s="6" t="n">
        <f aca="false">IF(H107="",0,(RANK(H107,KFTer,0)))</f>
        <v>0</v>
      </c>
      <c r="K107" s="6" t="n">
        <f aca="false">I107-J107</f>
        <v>0</v>
      </c>
      <c r="L107" s="6" t="n">
        <f aca="false">K107^2</f>
        <v>0</v>
      </c>
      <c r="P107" s="46" t="n">
        <v>0</v>
      </c>
      <c r="Q107" s="47" t="s">
        <v>32</v>
      </c>
      <c r="R107" s="48" t="n">
        <f aca="false">COUNTIFS(KFPat,"0",KFTer,"0")</f>
        <v>0</v>
      </c>
      <c r="S107" s="48" t="n">
        <f aca="false">COUNTIFS(KFPat,"0",KFTer,"1")</f>
        <v>0</v>
      </c>
      <c r="T107" s="48" t="n">
        <f aca="false">COUNTIFS(KFPat,"0",KFTer,"2")</f>
        <v>0</v>
      </c>
      <c r="U107" s="48" t="n">
        <f aca="false">COUNTIFS(KFPat,"0",KFTer,"3")</f>
        <v>0</v>
      </c>
      <c r="V107" s="48" t="n">
        <f aca="false">COUNTIFS(KFPat,"0",KFTer,"4")</f>
        <v>0</v>
      </c>
      <c r="W107" s="47" t="n">
        <f aca="false">SUM(R107:V107)</f>
        <v>0</v>
      </c>
      <c r="Y107" s="41" t="s">
        <v>33</v>
      </c>
      <c r="Z107" s="41"/>
    </row>
    <row collapsed="false" customFormat="false" customHeight="true" hidden="false" ht="12.25" outlineLevel="0" r="108">
      <c r="B108" s="42"/>
      <c r="C108" s="43"/>
      <c r="D108" s="6"/>
      <c r="E108" s="49"/>
      <c r="F108" s="45"/>
      <c r="G108" s="20" t="n">
        <f aca="false">IF(OR(D108="",E108="",VALUE(D108)&gt;4,VALUE(E108)&gt;4),"",IF(VALUE(D108)&lt;=4,VALUE(D108),""))</f>
        <v>0</v>
      </c>
      <c r="H108" s="20" t="n">
        <f aca="false">IF(OR(D108="",E108="",VALUE(D108)&gt;4,VALUE(E108)&gt;4),"",IF(VALUE(E108)&lt;=4,VALUE(E108),""))</f>
        <v>0</v>
      </c>
      <c r="I108" s="6" t="n">
        <f aca="false">IF(G108="",0,(RANK(G108,KFPat,0)))</f>
        <v>0</v>
      </c>
      <c r="J108" s="6" t="n">
        <f aca="false">IF(H108="",0,(RANK(H108,KFTer,0)))</f>
        <v>0</v>
      </c>
      <c r="K108" s="6" t="n">
        <f aca="false">I108-J108</f>
        <v>0</v>
      </c>
      <c r="L108" s="6" t="n">
        <f aca="false">K108^2</f>
        <v>0</v>
      </c>
      <c r="P108" s="50"/>
      <c r="Q108" s="0" t="s">
        <v>34</v>
      </c>
      <c r="R108" s="51" t="n">
        <f aca="false">$W107*R$142/$W$142</f>
        <v>0</v>
      </c>
      <c r="S108" s="51" t="n">
        <f aca="false">$W107*S$142/$W$142</f>
        <v>0</v>
      </c>
      <c r="T108" s="51" t="n">
        <f aca="false">$W107*T$142/$W$142</f>
        <v>0</v>
      </c>
      <c r="U108" s="51" t="n">
        <f aca="false">$W107*U$142/$W$142</f>
        <v>0</v>
      </c>
      <c r="V108" s="51" t="n">
        <f aca="false">$W107*V$142/$W$142</f>
        <v>0</v>
      </c>
      <c r="W108" s="41"/>
      <c r="Y108" s="41" t="s">
        <v>35</v>
      </c>
    </row>
    <row collapsed="false" customFormat="false" customHeight="true" hidden="false" ht="12.25" outlineLevel="0" r="109">
      <c r="B109" s="42"/>
      <c r="C109" s="43"/>
      <c r="D109" s="6"/>
      <c r="E109" s="49"/>
      <c r="F109" s="45"/>
      <c r="G109" s="20" t="n">
        <f aca="false">IF(OR(D109="",E109="",VALUE(D109)&gt;4,VALUE(E109)&gt;4),"",IF(VALUE(D109)&lt;=4,VALUE(D109),""))</f>
        <v>0</v>
      </c>
      <c r="H109" s="20" t="n">
        <f aca="false">IF(OR(D109="",E109="",VALUE(D109)&gt;4,VALUE(E109)&gt;4),"",IF(VALUE(E109)&lt;=4,VALUE(E109),""))</f>
        <v>0</v>
      </c>
      <c r="I109" s="6" t="n">
        <f aca="false">IF(G109="",0,(RANK(G109,KFPat,0)))</f>
        <v>0</v>
      </c>
      <c r="J109" s="6" t="n">
        <f aca="false">IF(H109="",0,(RANK(H109,KFTer,0)))</f>
        <v>0</v>
      </c>
      <c r="K109" s="6" t="n">
        <f aca="false">I109-J109</f>
        <v>0</v>
      </c>
      <c r="L109" s="6" t="n">
        <f aca="false">K109^2</f>
        <v>0</v>
      </c>
      <c r="P109" s="50"/>
      <c r="Q109" s="0" t="s">
        <v>36</v>
      </c>
      <c r="R109" s="51" t="e">
        <f aca="false">Z109</f>
        <v>#REF!</v>
      </c>
      <c r="S109" s="51" t="e">
        <f aca="false">Z110</f>
        <v>#REF!</v>
      </c>
      <c r="T109" s="51" t="e">
        <f aca="false">Z111</f>
        <v>#REF!</v>
      </c>
      <c r="U109" s="51" t="e">
        <f aca="false">Z112</f>
        <v>#REF!</v>
      </c>
      <c r="V109" s="51" t="e">
        <f aca="false">Z113</f>
        <v>#REF!</v>
      </c>
      <c r="W109" s="41"/>
      <c r="Y109" s="41" t="s">
        <v>37</v>
      </c>
      <c r="Z109" s="52" t="e">
        <f aca="false">#REF!!C14</f>
        <v>#REF!</v>
      </c>
    </row>
    <row collapsed="false" customFormat="false" customHeight="true" hidden="false" ht="12.25" outlineLevel="0" r="110">
      <c r="B110" s="42"/>
      <c r="C110" s="43"/>
      <c r="D110" s="6"/>
      <c r="E110" s="49"/>
      <c r="F110" s="45"/>
      <c r="G110" s="20" t="n">
        <f aca="false">IF(OR(D110="",E110="",VALUE(D110)&gt;4,VALUE(E110)&gt;4),"",IF(VALUE(D110)&lt;=4,VALUE(D110),""))</f>
        <v>0</v>
      </c>
      <c r="H110" s="20" t="n">
        <f aca="false">IF(OR(D110="",E110="",VALUE(D110)&gt;4,VALUE(E110)&gt;4),"",IF(VALUE(E110)&lt;=4,VALUE(E110),""))</f>
        <v>0</v>
      </c>
      <c r="I110" s="6" t="n">
        <f aca="false">IF(G110="",0,(RANK(G110,KFPat,0)))</f>
        <v>0</v>
      </c>
      <c r="J110" s="6" t="n">
        <f aca="false">IF(H110="",0,(RANK(H110,KFTer,0)))</f>
        <v>0</v>
      </c>
      <c r="K110" s="6" t="n">
        <f aca="false">I110-J110</f>
        <v>0</v>
      </c>
      <c r="L110" s="6" t="n">
        <f aca="false">K110^2</f>
        <v>0</v>
      </c>
      <c r="P110" s="50"/>
      <c r="Q110" s="0" t="s">
        <v>38</v>
      </c>
      <c r="R110" s="51" t="e">
        <f aca="false">R107*R109</f>
        <v>#REF!</v>
      </c>
      <c r="S110" s="51" t="e">
        <f aca="false">S107*S109</f>
        <v>#REF!</v>
      </c>
      <c r="T110" s="51" t="e">
        <f aca="false">T107*T109</f>
        <v>#REF!</v>
      </c>
      <c r="U110" s="51" t="e">
        <f aca="false">U107*U109</f>
        <v>#REF!</v>
      </c>
      <c r="V110" s="51" t="e">
        <f aca="false">V107*V109</f>
        <v>#REF!</v>
      </c>
      <c r="W110" s="41" t="e">
        <f aca="false">SUM(R110:V110)</f>
        <v>#REF!</v>
      </c>
      <c r="Y110" s="41" t="s">
        <v>39</v>
      </c>
      <c r="Z110" s="52" t="e">
        <f aca="false">#REF!!C15</f>
        <v>#REF!</v>
      </c>
    </row>
    <row collapsed="false" customFormat="false" customHeight="true" hidden="false" ht="12.25" outlineLevel="0" r="111">
      <c r="B111" s="42"/>
      <c r="C111" s="43"/>
      <c r="D111" s="6"/>
      <c r="E111" s="49"/>
      <c r="F111" s="45"/>
      <c r="G111" s="20" t="n">
        <f aca="false">IF(OR(D111="",E111="",VALUE(D111)&gt;4,VALUE(E111)&gt;4),"",IF(VALUE(D111)&lt;=4,VALUE(D111),""))</f>
        <v>0</v>
      </c>
      <c r="H111" s="20" t="n">
        <f aca="false">IF(OR(D111="",E111="",VALUE(D111)&gt;4,VALUE(E111)&gt;4),"",IF(VALUE(E111)&lt;=4,VALUE(E111),""))</f>
        <v>0</v>
      </c>
      <c r="I111" s="6" t="n">
        <f aca="false">IF(G111="",0,(RANK(G111,KFPat,0)))</f>
        <v>0</v>
      </c>
      <c r="J111" s="6" t="n">
        <f aca="false">IF(H111="",0,(RANK(H111,KFTer,0)))</f>
        <v>0</v>
      </c>
      <c r="K111" s="6" t="n">
        <f aca="false">I111-J111</f>
        <v>0</v>
      </c>
      <c r="L111" s="6" t="n">
        <f aca="false">K111^2</f>
        <v>0</v>
      </c>
      <c r="P111" s="50"/>
      <c r="Q111" s="0" t="s">
        <v>40</v>
      </c>
      <c r="R111" s="51" t="e">
        <f aca="false">R109*R108</f>
        <v>#REF!</v>
      </c>
      <c r="S111" s="51" t="e">
        <f aca="false">S109*S108</f>
        <v>#REF!</v>
      </c>
      <c r="T111" s="51" t="e">
        <f aca="false">T109*T108</f>
        <v>#REF!</v>
      </c>
      <c r="U111" s="51" t="e">
        <f aca="false">U109*U108</f>
        <v>#REF!</v>
      </c>
      <c r="V111" s="51" t="e">
        <f aca="false">V109*V108</f>
        <v>#REF!</v>
      </c>
      <c r="W111" s="41" t="e">
        <f aca="false">SUM(R111:V111)</f>
        <v>#REF!</v>
      </c>
      <c r="Y111" s="41" t="s">
        <v>41</v>
      </c>
      <c r="Z111" s="52" t="e">
        <f aca="false">#REF!!C16</f>
        <v>#REF!</v>
      </c>
    </row>
    <row collapsed="false" customFormat="false" customHeight="true" hidden="false" ht="12.25" outlineLevel="0" r="112">
      <c r="B112" s="42"/>
      <c r="C112" s="43"/>
      <c r="D112" s="6"/>
      <c r="E112" s="49"/>
      <c r="F112" s="45"/>
      <c r="G112" s="20" t="n">
        <f aca="false">IF(OR(D112="",E112="",VALUE(D112)&gt;4,VALUE(E112)&gt;4),"",IF(VALUE(D112)&lt;=4,VALUE(D112),""))</f>
        <v>0</v>
      </c>
      <c r="H112" s="20" t="n">
        <f aca="false">IF(OR(D112="",E112="",VALUE(D112)&gt;4,VALUE(E112)&gt;4),"",IF(VALUE(E112)&lt;=4,VALUE(E112),""))</f>
        <v>0</v>
      </c>
      <c r="I112" s="6" t="n">
        <f aca="false">IF(G112="",0,(RANK(G112,KFPat,0)))</f>
        <v>0</v>
      </c>
      <c r="J112" s="6" t="n">
        <f aca="false">IF(H112="",0,(RANK(H112,KFTer,0)))</f>
        <v>0</v>
      </c>
      <c r="K112" s="6" t="n">
        <f aca="false">I112-J112</f>
        <v>0</v>
      </c>
      <c r="L112" s="6" t="n">
        <f aca="false">K112^2</f>
        <v>0</v>
      </c>
      <c r="P112" s="50"/>
      <c r="Q112" s="0" t="s">
        <v>42</v>
      </c>
      <c r="R112" s="51" t="e">
        <f aca="false">R109^2</f>
        <v>#REF!</v>
      </c>
      <c r="S112" s="51" t="e">
        <f aca="false">S109^2</f>
        <v>#REF!</v>
      </c>
      <c r="T112" s="51" t="e">
        <f aca="false">T109^2</f>
        <v>#REF!</v>
      </c>
      <c r="U112" s="51" t="e">
        <f aca="false">U109^2</f>
        <v>#REF!</v>
      </c>
      <c r="V112" s="51" t="e">
        <f aca="false">V109^2</f>
        <v>#REF!</v>
      </c>
      <c r="W112" s="41"/>
      <c r="Y112" s="41" t="s">
        <v>43</v>
      </c>
      <c r="Z112" s="0" t="e">
        <f aca="false">#REF!!C17</f>
        <v>#REF!</v>
      </c>
    </row>
    <row collapsed="false" customFormat="false" customHeight="true" hidden="false" ht="12.25" outlineLevel="0" r="113">
      <c r="B113" s="42"/>
      <c r="C113" s="43"/>
      <c r="D113" s="6"/>
      <c r="E113" s="49"/>
      <c r="F113" s="45"/>
      <c r="G113" s="20" t="n">
        <f aca="false">IF(OR(D113="",E113="",VALUE(D113)&gt;4,VALUE(E113)&gt;4),"",IF(VALUE(D113)&lt;=4,VALUE(D113),""))</f>
        <v>0</v>
      </c>
      <c r="H113" s="20" t="n">
        <f aca="false">IF(OR(D113="",E113="",VALUE(D113)&gt;4,VALUE(E113)&gt;4),"",IF(VALUE(E113)&lt;=4,VALUE(E113),""))</f>
        <v>0</v>
      </c>
      <c r="I113" s="6" t="n">
        <f aca="false">IF(G113="",0,(RANK(G113,KFPat,0)))</f>
        <v>0</v>
      </c>
      <c r="J113" s="6" t="n">
        <f aca="false">IF(H113="",0,(RANK(H113,KFTer,0)))</f>
        <v>0</v>
      </c>
      <c r="K113" s="6" t="n">
        <f aca="false">I113-J113</f>
        <v>0</v>
      </c>
      <c r="L113" s="6" t="n">
        <f aca="false">K113^2</f>
        <v>0</v>
      </c>
      <c r="P113" s="53"/>
      <c r="Q113" s="0" t="s">
        <v>44</v>
      </c>
      <c r="R113" s="51" t="e">
        <f aca="false">R112*R108</f>
        <v>#REF!</v>
      </c>
      <c r="S113" s="51" t="e">
        <f aca="false">S112*S108</f>
        <v>#REF!</v>
      </c>
      <c r="T113" s="51" t="e">
        <f aca="false">T112*T108</f>
        <v>#REF!</v>
      </c>
      <c r="U113" s="51" t="e">
        <f aca="false">U112*U108</f>
        <v>#REF!</v>
      </c>
      <c r="V113" s="51" t="e">
        <f aca="false">V112*V108</f>
        <v>#REF!</v>
      </c>
      <c r="W113" s="41" t="e">
        <f aca="false">SUM(R113:V113)</f>
        <v>#REF!</v>
      </c>
      <c r="Y113" s="41" t="s">
        <v>45</v>
      </c>
      <c r="Z113" s="52" t="e">
        <f aca="false">#REF!!C18</f>
        <v>#REF!</v>
      </c>
    </row>
    <row collapsed="false" customFormat="false" customHeight="true" hidden="false" ht="12.25" outlineLevel="0" r="114">
      <c r="B114" s="42"/>
      <c r="C114" s="43"/>
      <c r="D114" s="6"/>
      <c r="E114" s="49"/>
      <c r="F114" s="45"/>
      <c r="G114" s="20" t="n">
        <f aca="false">IF(OR(D114="",E114="",VALUE(D114)&gt;4,VALUE(E114)&gt;4),"",IF(VALUE(D114)&lt;=4,VALUE(D114),""))</f>
        <v>0</v>
      </c>
      <c r="H114" s="20" t="n">
        <f aca="false">IF(OR(D114="",E114="",VALUE(D114)&gt;4,VALUE(E114)&gt;4),"",IF(VALUE(E114)&lt;=4,VALUE(E114),""))</f>
        <v>0</v>
      </c>
      <c r="I114" s="6" t="n">
        <f aca="false">IF(G114="",0,(RANK(G114,KFPat,0)))</f>
        <v>0</v>
      </c>
      <c r="J114" s="6" t="n">
        <f aca="false">IF(H114="",0,(RANK(H114,KFTer,0)))</f>
        <v>0</v>
      </c>
      <c r="K114" s="6" t="n">
        <f aca="false">I114-J114</f>
        <v>0</v>
      </c>
      <c r="L114" s="6" t="n">
        <f aca="false">K114^2</f>
        <v>0</v>
      </c>
      <c r="P114" s="46" t="n">
        <v>1</v>
      </c>
      <c r="Q114" s="47" t="s">
        <v>32</v>
      </c>
      <c r="R114" s="48" t="n">
        <f aca="false">COUNTIFS(KFPat,"1",KFTer,"0")</f>
        <v>1</v>
      </c>
      <c r="S114" s="48" t="n">
        <f aca="false">COUNTIFS(KFPat,"1",KFTer,"1")</f>
        <v>0</v>
      </c>
      <c r="T114" s="48" t="n">
        <f aca="false">COUNTIFS(KFPat,"1",KFTer,"2")</f>
        <v>0</v>
      </c>
      <c r="U114" s="48" t="n">
        <f aca="false">COUNTIFS(KFPat,"1",KFTer,"3")</f>
        <v>0</v>
      </c>
      <c r="V114" s="48" t="n">
        <f aca="false">COUNTIFS(KFPat,"1",KFTer,"4")</f>
        <v>0</v>
      </c>
      <c r="W114" s="47" t="n">
        <f aca="false">SUM(R114:V114)</f>
        <v>1</v>
      </c>
    </row>
    <row collapsed="false" customFormat="false" customHeight="true" hidden="false" ht="12.25" outlineLevel="0" r="115">
      <c r="B115" s="42"/>
      <c r="C115" s="43"/>
      <c r="D115" s="6"/>
      <c r="E115" s="49"/>
      <c r="F115" s="45"/>
      <c r="G115" s="20" t="n">
        <f aca="false">IF(OR(D115="",E115="",VALUE(D115)&gt;4,VALUE(E115)&gt;4),"",IF(VALUE(D115)&lt;=4,VALUE(D115),""))</f>
        <v>0</v>
      </c>
      <c r="H115" s="20" t="n">
        <f aca="false">IF(OR(D115="",E115="",VALUE(D115)&gt;4,VALUE(E115)&gt;4),"",IF(VALUE(E115)&lt;=4,VALUE(E115),""))</f>
        <v>0</v>
      </c>
      <c r="I115" s="6" t="n">
        <f aca="false">IF(G115="",0,(RANK(G115,KFPat,0)))</f>
        <v>0</v>
      </c>
      <c r="J115" s="6" t="n">
        <f aca="false">IF(H115="",0,(RANK(H115,KFTer,0)))</f>
        <v>0</v>
      </c>
      <c r="K115" s="6" t="n">
        <f aca="false">I115-J115</f>
        <v>0</v>
      </c>
      <c r="L115" s="6" t="n">
        <f aca="false">K115^2</f>
        <v>0</v>
      </c>
      <c r="P115" s="50"/>
      <c r="Q115" s="0" t="s">
        <v>34</v>
      </c>
      <c r="R115" s="51" t="n">
        <f aca="false">$W114*R$142/$W$142</f>
        <v>1</v>
      </c>
      <c r="S115" s="51" t="n">
        <f aca="false">$W114*S$142/$W$142</f>
        <v>0</v>
      </c>
      <c r="T115" s="51" t="n">
        <f aca="false">$W114*T$142/$W$142</f>
        <v>0</v>
      </c>
      <c r="U115" s="51" t="n">
        <f aca="false">$W114*U$142/$W$142</f>
        <v>0</v>
      </c>
      <c r="V115" s="51" t="n">
        <f aca="false">$W114*V$142/$W$142</f>
        <v>0</v>
      </c>
      <c r="W115" s="41"/>
      <c r="Y115" s="47" t="s">
        <v>46</v>
      </c>
      <c r="Z115" s="47" t="e">
        <f aca="false">SUM(W138,W131,W124,W117,W110)</f>
        <v>#REF!</v>
      </c>
    </row>
    <row collapsed="false" customFormat="false" customHeight="true" hidden="false" ht="12.25" outlineLevel="0" r="116">
      <c r="B116" s="42"/>
      <c r="C116" s="43"/>
      <c r="D116" s="6"/>
      <c r="E116" s="49"/>
      <c r="F116" s="45"/>
      <c r="G116" s="20" t="n">
        <f aca="false">IF(OR(D116="",E116="",VALUE(D116)&gt;4,VALUE(E116)&gt;4),"",IF(VALUE(D116)&lt;=4,VALUE(D116),""))</f>
        <v>0</v>
      </c>
      <c r="H116" s="20" t="n">
        <f aca="false">IF(OR(D116="",E116="",VALUE(D116)&gt;4,VALUE(E116)&gt;4),"",IF(VALUE(E116)&lt;=4,VALUE(E116),""))</f>
        <v>0</v>
      </c>
      <c r="I116" s="6" t="n">
        <f aca="false">IF(G116="",0,(RANK(G116,KFPat,0)))</f>
        <v>0</v>
      </c>
      <c r="J116" s="6" t="n">
        <f aca="false">IF(H116="",0,(RANK(H116,KFTer,0)))</f>
        <v>0</v>
      </c>
      <c r="K116" s="6" t="n">
        <f aca="false">I116-J116</f>
        <v>0</v>
      </c>
      <c r="L116" s="6" t="n">
        <f aca="false">K116^2</f>
        <v>0</v>
      </c>
      <c r="P116" s="50"/>
      <c r="Q116" s="0" t="s">
        <v>36</v>
      </c>
      <c r="R116" s="0" t="n">
        <v>0.25</v>
      </c>
      <c r="S116" s="51" t="e">
        <f aca="false">Z109</f>
        <v>#REF!</v>
      </c>
      <c r="T116" s="0" t="n">
        <v>0.25</v>
      </c>
      <c r="U116" s="51" t="e">
        <f aca="false">Z111</f>
        <v>#REF!</v>
      </c>
      <c r="V116" s="51" t="e">
        <f aca="false">Z112</f>
        <v>#REF!</v>
      </c>
      <c r="W116" s="41"/>
      <c r="Y116" s="47" t="s">
        <v>47</v>
      </c>
      <c r="Z116" s="47" t="e">
        <f aca="false">SUM(W139,W132,W125,W118,W111)</f>
        <v>#REF!</v>
      </c>
      <c r="AB116" s="0" t="s">
        <v>48</v>
      </c>
    </row>
    <row collapsed="false" customFormat="false" customHeight="true" hidden="false" ht="12.25" outlineLevel="0" r="117">
      <c r="B117" s="42"/>
      <c r="C117" s="43"/>
      <c r="D117" s="6"/>
      <c r="E117" s="49"/>
      <c r="F117" s="45"/>
      <c r="G117" s="20" t="n">
        <f aca="false">IF(OR(D117="",E117="",VALUE(D117)&gt;4,VALUE(E117)&gt;4),"",IF(VALUE(D117)&lt;=4,VALUE(D117),""))</f>
        <v>0</v>
      </c>
      <c r="H117" s="20" t="n">
        <f aca="false">IF(OR(D117="",E117="",VALUE(D117)&gt;4,VALUE(E117)&gt;4),"",IF(VALUE(E117)&lt;=4,VALUE(E117),""))</f>
        <v>0</v>
      </c>
      <c r="I117" s="6" t="n">
        <f aca="false">IF(G117="",0,(RANK(G117,KFPat,0)))</f>
        <v>0</v>
      </c>
      <c r="J117" s="6" t="n">
        <f aca="false">IF(H117="",0,(RANK(H117,KFTer,0)))</f>
        <v>0</v>
      </c>
      <c r="K117" s="6" t="n">
        <f aca="false">I117-J117</f>
        <v>0</v>
      </c>
      <c r="L117" s="6" t="n">
        <f aca="false">K117^2</f>
        <v>0</v>
      </c>
      <c r="P117" s="50"/>
      <c r="Q117" s="0" t="s">
        <v>38</v>
      </c>
      <c r="R117" s="51" t="n">
        <f aca="false">R114*R116</f>
        <v>0.25</v>
      </c>
      <c r="S117" s="51" t="e">
        <f aca="false">S114*S116</f>
        <v>#REF!</v>
      </c>
      <c r="T117" s="51" t="n">
        <f aca="false">T114*T116</f>
        <v>0</v>
      </c>
      <c r="U117" s="51" t="e">
        <f aca="false">U114*U116</f>
        <v>#REF!</v>
      </c>
      <c r="V117" s="51" t="e">
        <f aca="false">V114*V116</f>
        <v>#REF!</v>
      </c>
      <c r="W117" s="41" t="e">
        <f aca="false">SUM(R117:V117)</f>
        <v>#REF!</v>
      </c>
      <c r="Y117" s="47" t="s">
        <v>49</v>
      </c>
      <c r="Z117" s="54" t="e">
        <f aca="false">1-(Z115/Z116)</f>
        <v>#REF!</v>
      </c>
      <c r="AA117" s="0" t="s">
        <v>50</v>
      </c>
    </row>
    <row collapsed="false" customFormat="false" customHeight="true" hidden="false" ht="12.25" outlineLevel="0" r="118">
      <c r="B118" s="42"/>
      <c r="C118" s="43"/>
      <c r="D118" s="6"/>
      <c r="E118" s="49"/>
      <c r="F118" s="45"/>
      <c r="G118" s="20" t="n">
        <f aca="false">IF(OR(D118="",E118="",VALUE(D118)&gt;4,VALUE(E118)&gt;4),"",IF(VALUE(D118)&lt;=4,VALUE(D118),""))</f>
        <v>0</v>
      </c>
      <c r="H118" s="20" t="n">
        <f aca="false">IF(OR(D118="",E118="",VALUE(D118)&gt;4,VALUE(E118)&gt;4),"",IF(VALUE(E118)&lt;=4,VALUE(E118),""))</f>
        <v>0</v>
      </c>
      <c r="I118" s="6" t="n">
        <f aca="false">IF(G118="",0,(RANK(G118,KFPat,0)))</f>
        <v>0</v>
      </c>
      <c r="J118" s="6" t="n">
        <f aca="false">IF(H118="",0,(RANK(H118,KFTer,0)))</f>
        <v>0</v>
      </c>
      <c r="K118" s="6" t="n">
        <f aca="false">I118-J118</f>
        <v>0</v>
      </c>
      <c r="L118" s="6" t="n">
        <f aca="false">K118^2</f>
        <v>0</v>
      </c>
      <c r="P118" s="50"/>
      <c r="Q118" s="0" t="s">
        <v>40</v>
      </c>
      <c r="R118" s="51" t="n">
        <f aca="false">R116*R115</f>
        <v>0.25</v>
      </c>
      <c r="S118" s="51" t="e">
        <f aca="false">S116*S115</f>
        <v>#REF!</v>
      </c>
      <c r="T118" s="51" t="n">
        <f aca="false">T116*T115</f>
        <v>0</v>
      </c>
      <c r="U118" s="51" t="e">
        <f aca="false">U116*U115</f>
        <v>#REF!</v>
      </c>
      <c r="V118" s="51" t="e">
        <f aca="false">V116*V115</f>
        <v>#REF!</v>
      </c>
      <c r="W118" s="41" t="e">
        <f aca="false">SUM(R118:V118)</f>
        <v>#REF!</v>
      </c>
    </row>
    <row collapsed="false" customFormat="false" customHeight="true" hidden="false" ht="12.25" outlineLevel="0" r="119">
      <c r="B119" s="7"/>
      <c r="C119" s="7"/>
      <c r="D119" s="16"/>
      <c r="E119" s="16"/>
      <c r="G119" s="20" t="n">
        <f aca="false">IF(OR(D119="",E119="",VALUE(D119)&gt;4,VALUE(E119)&gt;4),"",IF(VALUE(D119)&lt;=4,VALUE(D119),""))</f>
        <v>0</v>
      </c>
      <c r="H119" s="20" t="n">
        <f aca="false">IF(OR(D119="",E119="",VALUE(D119)&gt;4,VALUE(E119)&gt;4),"",IF(VALUE(E119)&lt;=4,VALUE(E119),""))</f>
        <v>0</v>
      </c>
      <c r="I119" s="6" t="n">
        <f aca="false">IF(G119="",0,(RANK(G119,KFPat,0)))</f>
        <v>0</v>
      </c>
      <c r="J119" s="6" t="n">
        <f aca="false">IF(H119="",0,(RANK(H119,KFTer,0)))</f>
        <v>0</v>
      </c>
      <c r="K119" s="6" t="n">
        <f aca="false">I119-J119</f>
        <v>0</v>
      </c>
      <c r="L119" s="6" t="n">
        <f aca="false">K119^2</f>
        <v>0</v>
      </c>
      <c r="P119" s="50"/>
      <c r="Q119" s="0" t="s">
        <v>42</v>
      </c>
      <c r="R119" s="51" t="n">
        <f aca="false">R116^2</f>
        <v>0.0625</v>
      </c>
      <c r="S119" s="51" t="e">
        <f aca="false">S116^2</f>
        <v>#REF!</v>
      </c>
      <c r="T119" s="51" t="n">
        <f aca="false">T116^2</f>
        <v>0.0625</v>
      </c>
      <c r="U119" s="51" t="e">
        <f aca="false">U116^2</f>
        <v>#REF!</v>
      </c>
      <c r="V119" s="51" t="e">
        <f aca="false">V116^2</f>
        <v>#REF!</v>
      </c>
      <c r="W119" s="41"/>
      <c r="Y119" s="55" t="s">
        <v>51</v>
      </c>
      <c r="Z119" s="56" t="e">
        <f aca="false">SUM(W141,W134,W127,W120,W113)</f>
        <v>#REF!</v>
      </c>
    </row>
    <row collapsed="false" customFormat="false" customHeight="true" hidden="false" ht="12.25" outlineLevel="0" r="120">
      <c r="B120" s="42"/>
      <c r="C120" s="43"/>
      <c r="D120" s="57"/>
      <c r="E120" s="58"/>
      <c r="G120" s="20" t="n">
        <f aca="false">IF(OR(D120="",E120="",VALUE(D120)&gt;4,VALUE(E120)&gt;4),"",IF(VALUE(D120)&lt;=4,VALUE(D120),""))</f>
        <v>0</v>
      </c>
      <c r="H120" s="20" t="n">
        <f aca="false">IF(OR(D120="",E120="",VALUE(D120)&gt;4,VALUE(E120)&gt;4),"",IF(VALUE(E120)&lt;=4,VALUE(E120),""))</f>
        <v>0</v>
      </c>
      <c r="I120" s="6" t="n">
        <f aca="false">IF(G120="",0,(RANK(G120,KFPat,0)))</f>
        <v>0</v>
      </c>
      <c r="J120" s="6" t="n">
        <f aca="false">IF(H120="",0,(RANK(H120,KFTer,0)))</f>
        <v>0</v>
      </c>
      <c r="K120" s="6" t="n">
        <f aca="false">I120-J120</f>
        <v>0</v>
      </c>
      <c r="L120" s="6" t="n">
        <f aca="false">K120^2</f>
        <v>0</v>
      </c>
      <c r="P120" s="53"/>
      <c r="Q120" s="0" t="s">
        <v>44</v>
      </c>
      <c r="R120" s="51" t="n">
        <f aca="false">R119*R115</f>
        <v>0.0625</v>
      </c>
      <c r="S120" s="51" t="e">
        <f aca="false">S119*S115</f>
        <v>#REF!</v>
      </c>
      <c r="T120" s="51" t="n">
        <f aca="false">T119*T115</f>
        <v>0</v>
      </c>
      <c r="U120" s="51" t="e">
        <f aca="false">U119*U115</f>
        <v>#REF!</v>
      </c>
      <c r="V120" s="51" t="e">
        <f aca="false">V119*V115</f>
        <v>#REF!</v>
      </c>
      <c r="W120" s="41" t="e">
        <f aca="false">SUM(R120:V120)</f>
        <v>#REF!</v>
      </c>
    </row>
    <row collapsed="false" customFormat="false" customHeight="true" hidden="false" ht="12.25" outlineLevel="0" r="121">
      <c r="B121" s="42"/>
      <c r="C121" s="43"/>
      <c r="D121" s="57"/>
      <c r="E121" s="58"/>
      <c r="G121" s="20" t="n">
        <f aca="false">IF(OR(D121="",E121="",VALUE(D121)&gt;4,VALUE(E121)&gt;4),"",IF(VALUE(D121)&lt;=4,VALUE(D121),""))</f>
        <v>0</v>
      </c>
      <c r="H121" s="20" t="n">
        <f aca="false">IF(OR(D121="",E121="",VALUE(D121)&gt;4,VALUE(E121)&gt;4),"",IF(VALUE(E121)&lt;=4,VALUE(E121),""))</f>
        <v>0</v>
      </c>
      <c r="I121" s="6" t="n">
        <f aca="false">IF(G121="",0,(RANK(G121,KFPat,0)))</f>
        <v>0</v>
      </c>
      <c r="J121" s="6" t="n">
        <f aca="false">IF(H121="",0,(RANK(H121,KFTer,0)))</f>
        <v>0</v>
      </c>
      <c r="K121" s="6" t="n">
        <f aca="false">I121-J121</f>
        <v>0</v>
      </c>
      <c r="L121" s="6" t="n">
        <f aca="false">K121^2</f>
        <v>0</v>
      </c>
      <c r="P121" s="46" t="n">
        <v>2</v>
      </c>
      <c r="Q121" s="47" t="s">
        <v>32</v>
      </c>
      <c r="R121" s="48" t="n">
        <f aca="false">COUNTIFS(KFPat,"2",KFTer,"0")</f>
        <v>0</v>
      </c>
      <c r="S121" s="48" t="n">
        <f aca="false">COUNTIFS(KFPat,"2",KFTer,"1")</f>
        <v>0</v>
      </c>
      <c r="T121" s="48" t="n">
        <f aca="false">COUNTIFS(KFPat,"2",KFTer,"2")</f>
        <v>0</v>
      </c>
      <c r="U121" s="48" t="n">
        <f aca="false">COUNTIFS(KFPat,"2",KFTer,"3")</f>
        <v>0</v>
      </c>
      <c r="V121" s="48" t="n">
        <f aca="false">COUNTIFS(KFPat,"2",KFTer,"4")</f>
        <v>0</v>
      </c>
      <c r="W121" s="47" t="n">
        <f aca="false">SUM(R121:V121)</f>
        <v>0</v>
      </c>
      <c r="Y121" s="55" t="s">
        <v>52</v>
      </c>
      <c r="Z121" s="56" t="e">
        <f aca="false">SQRT(((W142*Z119-Z116^2)/(W142*Z116^2)))</f>
        <v>#REF!</v>
      </c>
      <c r="AA121" s="59" t="s">
        <v>53</v>
      </c>
    </row>
    <row collapsed="false" customFormat="false" customHeight="true" hidden="false" ht="12.25" outlineLevel="0" r="122">
      <c r="B122" s="42"/>
      <c r="C122" s="43"/>
      <c r="D122" s="57"/>
      <c r="E122" s="58"/>
      <c r="G122" s="20" t="n">
        <f aca="false">IF(OR(D122="",E122="",VALUE(D122)&gt;4,VALUE(E122)&gt;4),"",IF(VALUE(D122)&lt;=4,VALUE(D122),""))</f>
        <v>0</v>
      </c>
      <c r="H122" s="20" t="n">
        <f aca="false">IF(OR(D122="",E122="",VALUE(D122)&gt;4,VALUE(E122)&gt;4),"",IF(VALUE(E122)&lt;=4,VALUE(E122),""))</f>
        <v>0</v>
      </c>
      <c r="I122" s="6" t="n">
        <f aca="false">IF(G122="",0,(RANK(G122,KFPat,0)))</f>
        <v>0</v>
      </c>
      <c r="J122" s="6" t="n">
        <f aca="false">IF(H122="",0,(RANK(H122,KFTer,0)))</f>
        <v>0</v>
      </c>
      <c r="K122" s="6" t="n">
        <f aca="false">I122-J122</f>
        <v>0</v>
      </c>
      <c r="L122" s="6" t="n">
        <f aca="false">K122^2</f>
        <v>0</v>
      </c>
      <c r="P122" s="50"/>
      <c r="Q122" s="0" t="s">
        <v>34</v>
      </c>
      <c r="R122" s="51" t="n">
        <f aca="false">$W121*R$142/$W$142</f>
        <v>0</v>
      </c>
      <c r="S122" s="51" t="n">
        <f aca="false">$W121*S$142/$W$142</f>
        <v>0</v>
      </c>
      <c r="T122" s="51" t="n">
        <f aca="false">$W121*T$142/$W$142</f>
        <v>0</v>
      </c>
      <c r="U122" s="51" t="n">
        <f aca="false">$W121*U$142/$W$142</f>
        <v>0</v>
      </c>
      <c r="V122" s="51" t="n">
        <f aca="false">$W121*V$142/$W$142</f>
        <v>0</v>
      </c>
      <c r="W122" s="41"/>
    </row>
    <row collapsed="false" customFormat="false" customHeight="true" hidden="false" ht="12.25" outlineLevel="0" r="123">
      <c r="B123" s="42"/>
      <c r="C123" s="43"/>
      <c r="D123" s="57"/>
      <c r="E123" s="58"/>
      <c r="G123" s="20" t="n">
        <f aca="false">IF(OR(D123="",E123="",VALUE(D123)&gt;4,VALUE(E123)&gt;4),"",IF(VALUE(D123)&lt;=4,VALUE(D123),""))</f>
        <v>0</v>
      </c>
      <c r="H123" s="20" t="n">
        <f aca="false">IF(OR(D123="",E123="",VALUE(D123)&gt;4,VALUE(E123)&gt;4),"",IF(VALUE(E123)&lt;=4,VALUE(E123),""))</f>
        <v>0</v>
      </c>
      <c r="I123" s="6" t="n">
        <f aca="false">IF(G123="",0,(RANK(G123,KFPat,0)))</f>
        <v>0</v>
      </c>
      <c r="J123" s="6" t="n">
        <f aca="false">IF(H123="",0,(RANK(H123,KFTer,0)))</f>
        <v>0</v>
      </c>
      <c r="K123" s="6" t="n">
        <f aca="false">I123-J123</f>
        <v>0</v>
      </c>
      <c r="L123" s="6" t="n">
        <f aca="false">K123^2</f>
        <v>0</v>
      </c>
      <c r="P123" s="50"/>
      <c r="Q123" s="0" t="s">
        <v>36</v>
      </c>
      <c r="R123" s="51" t="e">
        <f aca="false">Z111</f>
        <v>#REF!</v>
      </c>
      <c r="S123" s="0" t="n">
        <v>0.25</v>
      </c>
      <c r="T123" s="51" t="e">
        <f aca="false">Z109</f>
        <v>#REF!</v>
      </c>
      <c r="U123" s="0" t="n">
        <v>0.25</v>
      </c>
      <c r="V123" s="51" t="e">
        <f aca="false">Z111</f>
        <v>#REF!</v>
      </c>
      <c r="W123" s="41"/>
      <c r="Y123" s="0" t="s">
        <v>54</v>
      </c>
      <c r="Z123" s="56" t="e">
        <f aca="false">Z117/Z121</f>
        <v>#REF!</v>
      </c>
      <c r="AB123" s="55" t="s">
        <v>55</v>
      </c>
    </row>
    <row collapsed="false" customFormat="false" customHeight="true" hidden="false" ht="12.25" outlineLevel="0" r="124">
      <c r="B124" s="42"/>
      <c r="C124" s="43"/>
      <c r="D124" s="57"/>
      <c r="E124" s="58"/>
      <c r="G124" s="20" t="n">
        <f aca="false">IF(OR(D124="",E124="",VALUE(D124)&gt;4,VALUE(E124)&gt;4),"",IF(VALUE(D124)&lt;=4,VALUE(D124),""))</f>
        <v>0</v>
      </c>
      <c r="H124" s="20" t="n">
        <f aca="false">IF(OR(D124="",E124="",VALUE(D124)&gt;4,VALUE(E124)&gt;4),"",IF(VALUE(E124)&lt;=4,VALUE(E124),""))</f>
        <v>0</v>
      </c>
      <c r="I124" s="6" t="n">
        <f aca="false">IF(G124="",0,(RANK(G124,KFPat,0)))</f>
        <v>0</v>
      </c>
      <c r="J124" s="6" t="n">
        <f aca="false">IF(H124="",0,(RANK(H124,KFTer,0)))</f>
        <v>0</v>
      </c>
      <c r="K124" s="6" t="n">
        <f aca="false">I124-J124</f>
        <v>0</v>
      </c>
      <c r="L124" s="6" t="n">
        <f aca="false">K124^2</f>
        <v>0</v>
      </c>
      <c r="P124" s="50"/>
      <c r="Q124" s="0" t="s">
        <v>38</v>
      </c>
      <c r="R124" s="51" t="e">
        <f aca="false">R121*R123</f>
        <v>#REF!</v>
      </c>
      <c r="S124" s="51" t="n">
        <f aca="false">S121*S123</f>
        <v>0</v>
      </c>
      <c r="T124" s="51" t="e">
        <f aca="false">T121*T123</f>
        <v>#REF!</v>
      </c>
      <c r="U124" s="51" t="n">
        <f aca="false">U121*U123</f>
        <v>0</v>
      </c>
      <c r="V124" s="51" t="e">
        <f aca="false">V121*V123</f>
        <v>#REF!</v>
      </c>
      <c r="W124" s="41" t="e">
        <f aca="false">SUM(R124:V124)</f>
        <v>#REF!</v>
      </c>
      <c r="Z124" s="60"/>
      <c r="AB124" s="61"/>
      <c r="AC124" s="61"/>
    </row>
    <row collapsed="false" customFormat="false" customHeight="true" hidden="false" ht="12.25" outlineLevel="0" r="125">
      <c r="B125" s="42"/>
      <c r="C125" s="43"/>
      <c r="D125" s="62"/>
      <c r="E125" s="63"/>
      <c r="G125" s="20" t="n">
        <f aca="false">IF(OR(D125="",E125="",VALUE(D125)&gt;4,VALUE(E125)&gt;4),"",IF(VALUE(D125)&lt;=4,VALUE(D125),""))</f>
        <v>0</v>
      </c>
      <c r="H125" s="20" t="n">
        <f aca="false">IF(OR(D125="",E125="",VALUE(D125)&gt;4,VALUE(E125)&gt;4),"",IF(VALUE(E125)&lt;=4,VALUE(E125),""))</f>
        <v>0</v>
      </c>
      <c r="I125" s="6" t="n">
        <f aca="false">IF(G125="",0,(RANK(G125,KFPat,0)))</f>
        <v>0</v>
      </c>
      <c r="J125" s="6" t="n">
        <f aca="false">IF(H125="",0,(RANK(H125,KFTer,0)))</f>
        <v>0</v>
      </c>
      <c r="K125" s="6" t="n">
        <f aca="false">I125-J125</f>
        <v>0</v>
      </c>
      <c r="L125" s="6" t="n">
        <f aca="false">K125^2</f>
        <v>0</v>
      </c>
      <c r="P125" s="50"/>
      <c r="Q125" s="0" t="s">
        <v>40</v>
      </c>
      <c r="R125" s="51" t="e">
        <f aca="false">R123*R122</f>
        <v>#REF!</v>
      </c>
      <c r="S125" s="51" t="n">
        <f aca="false">S123*S122</f>
        <v>0</v>
      </c>
      <c r="T125" s="51" t="e">
        <f aca="false">T123*T122</f>
        <v>#REF!</v>
      </c>
      <c r="U125" s="51" t="n">
        <f aca="false">U123*U122</f>
        <v>0</v>
      </c>
      <c r="V125" s="51" t="e">
        <f aca="false">V123*V122</f>
        <v>#REF!</v>
      </c>
      <c r="W125" s="41" t="e">
        <f aca="false">SUM(R125:V125)</f>
        <v>#REF!</v>
      </c>
      <c r="Y125" s="0" t="e">
        <f aca="false">NORMSDIST(Z123)</f>
        <v>#REF!</v>
      </c>
      <c r="AA125" s="64"/>
    </row>
    <row collapsed="false" customFormat="false" customHeight="true" hidden="false" ht="12.25" outlineLevel="0" r="126">
      <c r="B126" s="42"/>
      <c r="C126" s="43"/>
      <c r="D126" s="62"/>
      <c r="E126" s="63"/>
      <c r="G126" s="20" t="n">
        <f aca="false">IF(OR(D126="",E126="",VALUE(D126)&gt;4,VALUE(E126)&gt;4),"",IF(VALUE(D126)&lt;=4,VALUE(D126),""))</f>
        <v>0</v>
      </c>
      <c r="H126" s="20" t="n">
        <f aca="false">IF(OR(D126="",E126="",VALUE(D126)&gt;4,VALUE(E126)&gt;4),"",IF(VALUE(E126)&lt;=4,VALUE(E126),""))</f>
        <v>0</v>
      </c>
      <c r="I126" s="6" t="n">
        <f aca="false">IF(G126="",0,(RANK(G126,KFPat,0)))</f>
        <v>0</v>
      </c>
      <c r="J126" s="6" t="n">
        <f aca="false">IF(H126="",0,(RANK(H126,KFTer,0)))</f>
        <v>0</v>
      </c>
      <c r="K126" s="6" t="n">
        <f aca="false">I126-J126</f>
        <v>0</v>
      </c>
      <c r="L126" s="6" t="n">
        <f aca="false">K126^2</f>
        <v>0</v>
      </c>
      <c r="P126" s="50"/>
      <c r="Q126" s="0" t="s">
        <v>42</v>
      </c>
      <c r="R126" s="51" t="e">
        <f aca="false">R123^2</f>
        <v>#REF!</v>
      </c>
      <c r="S126" s="51" t="n">
        <f aca="false">S123^2</f>
        <v>0.0625</v>
      </c>
      <c r="T126" s="51" t="e">
        <f aca="false">T123^2</f>
        <v>#REF!</v>
      </c>
      <c r="U126" s="51" t="n">
        <f aca="false">U123^2</f>
        <v>0.0625</v>
      </c>
      <c r="V126" s="51" t="e">
        <f aca="false">V123^2</f>
        <v>#REF!</v>
      </c>
      <c r="W126" s="41"/>
      <c r="Y126" s="0" t="e">
        <f aca="false">CHIDIST(Z123,W142-2)</f>
        <v>#REF!</v>
      </c>
    </row>
    <row collapsed="false" customFormat="false" customHeight="true" hidden="false" ht="12.25" outlineLevel="0" r="127">
      <c r="B127" s="42"/>
      <c r="C127" s="43"/>
      <c r="D127" s="62"/>
      <c r="E127" s="63"/>
      <c r="G127" s="20" t="n">
        <f aca="false">IF(OR(D127="",E127="",VALUE(D127)&gt;4,VALUE(E127)&gt;4),"",IF(VALUE(D127)&lt;=4,VALUE(D127),""))</f>
        <v>0</v>
      </c>
      <c r="H127" s="20" t="n">
        <f aca="false">IF(OR(D127="",E127="",VALUE(D127)&gt;4,VALUE(E127)&gt;4),"",IF(VALUE(E127)&lt;=4,VALUE(E127),""))</f>
        <v>0</v>
      </c>
      <c r="I127" s="6" t="n">
        <f aca="false">IF(G127="",0,(RANK(G127,KFPat,0)))</f>
        <v>0</v>
      </c>
      <c r="J127" s="6" t="n">
        <f aca="false">IF(H127="",0,(RANK(H127,KFTer,0)))</f>
        <v>0</v>
      </c>
      <c r="K127" s="6" t="n">
        <f aca="false">I127-J127</f>
        <v>0</v>
      </c>
      <c r="L127" s="6" t="n">
        <f aca="false">K127^2</f>
        <v>0</v>
      </c>
      <c r="P127" s="53"/>
      <c r="Q127" s="0" t="s">
        <v>44</v>
      </c>
      <c r="R127" s="51" t="e">
        <f aca="false">R126*R122</f>
        <v>#REF!</v>
      </c>
      <c r="S127" s="51" t="n">
        <f aca="false">S126*S122</f>
        <v>0</v>
      </c>
      <c r="T127" s="51" t="e">
        <f aca="false">T126*T122</f>
        <v>#REF!</v>
      </c>
      <c r="U127" s="51" t="n">
        <f aca="false">U126*U122</f>
        <v>0</v>
      </c>
      <c r="V127" s="51" t="e">
        <f aca="false">V126*V122</f>
        <v>#REF!</v>
      </c>
      <c r="W127" s="41" t="e">
        <f aca="false">SUM(R127:V127)</f>
        <v>#REF!</v>
      </c>
    </row>
    <row collapsed="false" customFormat="false" customHeight="true" hidden="false" ht="12.25" outlineLevel="0" r="128">
      <c r="B128" s="42"/>
      <c r="C128" s="43"/>
      <c r="D128" s="62"/>
      <c r="E128" s="63"/>
      <c r="G128" s="20" t="n">
        <f aca="false">IF(OR(D128="",E128="",VALUE(D128)&gt;4,VALUE(E128)&gt;4),"",IF(VALUE(D128)&lt;=4,VALUE(D128),""))</f>
        <v>0</v>
      </c>
      <c r="H128" s="20" t="n">
        <f aca="false">IF(OR(D128="",E128="",VALUE(D128)&gt;4,VALUE(E128)&gt;4),"",IF(VALUE(E128)&lt;=4,VALUE(E128),""))</f>
        <v>0</v>
      </c>
      <c r="I128" s="6" t="n">
        <f aca="false">IF(G128="",0,(RANK(G128,KFPat,0)))</f>
        <v>0</v>
      </c>
      <c r="J128" s="6" t="n">
        <f aca="false">IF(H128="",0,(RANK(H128,KFTer,0)))</f>
        <v>0</v>
      </c>
      <c r="K128" s="6" t="n">
        <f aca="false">I128-J128</f>
        <v>0</v>
      </c>
      <c r="L128" s="6" t="n">
        <f aca="false">K128^2</f>
        <v>0</v>
      </c>
      <c r="P128" s="46" t="n">
        <v>3</v>
      </c>
      <c r="Q128" s="47" t="s">
        <v>32</v>
      </c>
      <c r="R128" s="48" t="n">
        <f aca="false">COUNTIFS(KFPat,"3",KFTer,"0")</f>
        <v>0</v>
      </c>
      <c r="S128" s="48" t="n">
        <f aca="false">COUNTIFS(KFPat,"3",KFTer,"1")</f>
        <v>0</v>
      </c>
      <c r="T128" s="48" t="n">
        <f aca="false">COUNTIFS(KFPat,"3",KFTer,"2")</f>
        <v>0</v>
      </c>
      <c r="U128" s="48" t="n">
        <f aca="false">COUNTIFS(KFPat,"3",KFTer,"3")</f>
        <v>0</v>
      </c>
      <c r="V128" s="48" t="n">
        <f aca="false">COUNTIFS(KFPat,"3",KFTer,"4")</f>
        <v>0</v>
      </c>
      <c r="W128" s="47" t="n">
        <f aca="false">SUM(R128:V128)</f>
        <v>0</v>
      </c>
    </row>
    <row collapsed="false" customFormat="false" customHeight="true" hidden="false" ht="12.25" outlineLevel="0" r="129">
      <c r="B129" s="42"/>
      <c r="C129" s="43"/>
      <c r="D129" s="62"/>
      <c r="E129" s="63"/>
      <c r="G129" s="20" t="n">
        <f aca="false">IF(OR(D129="",E129="",VALUE(D129)&gt;4,VALUE(E129)&gt;4),"",IF(VALUE(D129)&lt;=4,VALUE(D129),""))</f>
        <v>0</v>
      </c>
      <c r="H129" s="20" t="n">
        <f aca="false">IF(OR(D129="",E129="",VALUE(D129)&gt;4,VALUE(E129)&gt;4),"",IF(VALUE(E129)&lt;=4,VALUE(E129),""))</f>
        <v>0</v>
      </c>
      <c r="I129" s="6" t="n">
        <f aca="false">IF(G129="",0,(RANK(G129,KFPat,0)))</f>
        <v>0</v>
      </c>
      <c r="J129" s="6" t="n">
        <f aca="false">IF(H129="",0,(RANK(H129,KFTer,0)))</f>
        <v>0</v>
      </c>
      <c r="K129" s="6" t="n">
        <f aca="false">I129-J129</f>
        <v>0</v>
      </c>
      <c r="L129" s="6" t="n">
        <f aca="false">K129^2</f>
        <v>0</v>
      </c>
      <c r="P129" s="50"/>
      <c r="Q129" s="0" t="s">
        <v>34</v>
      </c>
      <c r="R129" s="51" t="n">
        <f aca="false">$W128*R$142/$W$142</f>
        <v>0</v>
      </c>
      <c r="S129" s="51" t="n">
        <f aca="false">$W128*S$142/$W$142</f>
        <v>0</v>
      </c>
      <c r="T129" s="51" t="n">
        <f aca="false">$W128*T$142/$W$142</f>
        <v>0</v>
      </c>
      <c r="U129" s="51" t="n">
        <f aca="false">$W128*U$142/$W$142</f>
        <v>0</v>
      </c>
      <c r="V129" s="51" t="n">
        <f aca="false">$W128*V$142/$W$142</f>
        <v>0</v>
      </c>
      <c r="W129" s="41"/>
    </row>
    <row collapsed="false" customFormat="false" customHeight="true" hidden="false" ht="12.25" outlineLevel="0" r="130">
      <c r="B130" s="42"/>
      <c r="C130" s="43"/>
      <c r="D130" s="62"/>
      <c r="E130" s="63"/>
      <c r="G130" s="20" t="n">
        <f aca="false">IF(OR(D130="",E130="",VALUE(D130)&gt;4,VALUE(E130)&gt;4),"",IF(VALUE(D130)&lt;=4,VALUE(D130),""))</f>
        <v>0</v>
      </c>
      <c r="H130" s="20" t="n">
        <f aca="false">IF(OR(D130="",E130="",VALUE(D130)&gt;4,VALUE(E130)&gt;4),"",IF(VALUE(E130)&lt;=4,VALUE(E130),""))</f>
        <v>0</v>
      </c>
      <c r="I130" s="6" t="n">
        <f aca="false">IF(G130="",0,(RANK(G130,KFPat,0)))</f>
        <v>0</v>
      </c>
      <c r="J130" s="6" t="n">
        <f aca="false">IF(H130="",0,(RANK(H130,KFTer,0)))</f>
        <v>0</v>
      </c>
      <c r="K130" s="6" t="n">
        <f aca="false">I130-J130</f>
        <v>0</v>
      </c>
      <c r="L130" s="6" t="n">
        <f aca="false">K130^2</f>
        <v>0</v>
      </c>
      <c r="P130" s="50"/>
      <c r="Q130" s="0" t="s">
        <v>36</v>
      </c>
      <c r="R130" s="51" t="e">
        <f aca="false">Z112</f>
        <v>#REF!</v>
      </c>
      <c r="S130" s="51" t="e">
        <f aca="false">Z111</f>
        <v>#REF!</v>
      </c>
      <c r="T130" s="0" t="n">
        <v>0.25</v>
      </c>
      <c r="U130" s="51" t="e">
        <f aca="false">Z109</f>
        <v>#REF!</v>
      </c>
      <c r="V130" s="0" t="n">
        <v>0.25</v>
      </c>
      <c r="W130" s="41"/>
    </row>
    <row collapsed="false" customFormat="false" customHeight="true" hidden="false" ht="12.25" outlineLevel="0" r="131">
      <c r="B131" s="42"/>
      <c r="C131" s="43"/>
      <c r="D131" s="62"/>
      <c r="E131" s="63"/>
      <c r="G131" s="20" t="n">
        <f aca="false">IF(OR(D131="",E131="",VALUE(D131)&gt;4,VALUE(E131)&gt;4),"",IF(VALUE(D131)&lt;=4,VALUE(D131),""))</f>
        <v>0</v>
      </c>
      <c r="H131" s="20" t="n">
        <f aca="false">IF(OR(D131="",E131="",VALUE(D131)&gt;4,VALUE(E131)&gt;4),"",IF(VALUE(E131)&lt;=4,VALUE(E131),""))</f>
        <v>0</v>
      </c>
      <c r="I131" s="6" t="n">
        <f aca="false">IF(G131="",0,(RANK(G131,KFPat,0)))</f>
        <v>0</v>
      </c>
      <c r="J131" s="6" t="n">
        <f aca="false">IF(H131="",0,(RANK(H131,KFTer,0)))</f>
        <v>0</v>
      </c>
      <c r="K131" s="6" t="n">
        <f aca="false">I131-J131</f>
        <v>0</v>
      </c>
      <c r="L131" s="6" t="n">
        <f aca="false">K131^2</f>
        <v>0</v>
      </c>
      <c r="P131" s="50"/>
      <c r="Q131" s="0" t="s">
        <v>38</v>
      </c>
      <c r="R131" s="51" t="e">
        <f aca="false">R128*R130</f>
        <v>#REF!</v>
      </c>
      <c r="S131" s="51" t="e">
        <f aca="false">S128*S130</f>
        <v>#REF!</v>
      </c>
      <c r="T131" s="51" t="n">
        <f aca="false">T128*T130</f>
        <v>0</v>
      </c>
      <c r="U131" s="51" t="e">
        <f aca="false">U128*U130</f>
        <v>#REF!</v>
      </c>
      <c r="V131" s="51" t="n">
        <f aca="false">V128*V130</f>
        <v>0</v>
      </c>
      <c r="W131" s="41" t="e">
        <f aca="false">SUM(R131:V131)</f>
        <v>#REF!</v>
      </c>
    </row>
    <row collapsed="false" customFormat="false" customHeight="true" hidden="false" ht="12.25" outlineLevel="0" r="132">
      <c r="B132" s="42"/>
      <c r="C132" s="43"/>
      <c r="D132" s="62"/>
      <c r="E132" s="63"/>
      <c r="G132" s="20" t="n">
        <f aca="false">IF(OR(D132="",E132="",VALUE(D132)&gt;4,VALUE(E132)&gt;4),"",IF(VALUE(D132)&lt;=4,VALUE(D132),""))</f>
        <v>0</v>
      </c>
      <c r="H132" s="20" t="n">
        <f aca="false">IF(OR(D132="",E132="",VALUE(D132)&gt;4,VALUE(E132)&gt;4),"",IF(VALUE(E132)&lt;=4,VALUE(E132),""))</f>
        <v>0</v>
      </c>
      <c r="I132" s="6" t="n">
        <f aca="false">IF(G132="",0,(RANK(G132,KFPat,0)))</f>
        <v>0</v>
      </c>
      <c r="J132" s="6" t="n">
        <f aca="false">IF(H132="",0,(RANK(H132,KFTer,0)))</f>
        <v>0</v>
      </c>
      <c r="K132" s="6" t="n">
        <f aca="false">I132-J132</f>
        <v>0</v>
      </c>
      <c r="L132" s="6" t="n">
        <f aca="false">K132^2</f>
        <v>0</v>
      </c>
      <c r="P132" s="50"/>
      <c r="Q132" s="0" t="s">
        <v>40</v>
      </c>
      <c r="R132" s="51" t="e">
        <f aca="false">R130*R129</f>
        <v>#REF!</v>
      </c>
      <c r="S132" s="51" t="e">
        <f aca="false">S130*S129</f>
        <v>#REF!</v>
      </c>
      <c r="T132" s="51" t="n">
        <f aca="false">T130*T129</f>
        <v>0</v>
      </c>
      <c r="U132" s="51" t="e">
        <f aca="false">U130*U129</f>
        <v>#REF!</v>
      </c>
      <c r="V132" s="51" t="n">
        <f aca="false">V130*V129</f>
        <v>0</v>
      </c>
      <c r="W132" s="41" t="e">
        <f aca="false">SUM(R132:V132)</f>
        <v>#REF!</v>
      </c>
    </row>
    <row collapsed="false" customFormat="false" customHeight="true" hidden="false" ht="12.25" outlineLevel="0" r="133">
      <c r="B133" s="42"/>
      <c r="C133" s="42"/>
      <c r="D133" s="21"/>
      <c r="E133" s="21"/>
      <c r="G133" s="20" t="n">
        <f aca="false">IF(OR(D133="",E133="",VALUE(D133)&gt;4,VALUE(E133)&gt;4),"",IF(VALUE(D133)&lt;=4,VALUE(D133),""))</f>
        <v>0</v>
      </c>
      <c r="H133" s="20" t="n">
        <f aca="false">IF(OR(D133="",E133="",VALUE(D133)&gt;4,VALUE(E133)&gt;4),"",IF(VALUE(E133)&lt;=4,VALUE(E133),""))</f>
        <v>0</v>
      </c>
      <c r="I133" s="6" t="n">
        <f aca="false">IF(G133="",0,(RANK(G133,KFPat,0)))</f>
        <v>0</v>
      </c>
      <c r="J133" s="6" t="n">
        <f aca="false">IF(H133="",0,(RANK(H133,KFTer,0)))</f>
        <v>0</v>
      </c>
      <c r="K133" s="6" t="n">
        <f aca="false">I133-J133</f>
        <v>0</v>
      </c>
      <c r="L133" s="6" t="n">
        <f aca="false">K133^2</f>
        <v>0</v>
      </c>
      <c r="P133" s="50"/>
      <c r="Q133" s="0" t="s">
        <v>42</v>
      </c>
      <c r="R133" s="51" t="e">
        <f aca="false">R130^2</f>
        <v>#REF!</v>
      </c>
      <c r="S133" s="51" t="e">
        <f aca="false">S130^2</f>
        <v>#REF!</v>
      </c>
      <c r="T133" s="51" t="n">
        <f aca="false">T130^2</f>
        <v>0.0625</v>
      </c>
      <c r="U133" s="51" t="e">
        <f aca="false">U130^2</f>
        <v>#REF!</v>
      </c>
      <c r="V133" s="51" t="n">
        <f aca="false">V130^2</f>
        <v>0.0625</v>
      </c>
      <c r="W133" s="41"/>
    </row>
    <row collapsed="false" customFormat="false" customHeight="true" hidden="false" ht="12.25" outlineLevel="0" r="134">
      <c r="B134" s="42"/>
      <c r="C134" s="43"/>
      <c r="D134" s="62" t="n">
        <v>1</v>
      </c>
      <c r="E134" s="63" t="s">
        <v>56</v>
      </c>
      <c r="G134" s="20" t="n">
        <f aca="false">IF(OR(D134="",E134="",VALUE(D134)&gt;4,VALUE(E134)&gt;4),"",IF(VALUE(D134)&lt;=4,VALUE(D134),""))</f>
        <v>1</v>
      </c>
      <c r="H134" s="20" t="n">
        <f aca="false">IF(OR(D134="",E134="",VALUE(D134)&gt;4,VALUE(E134)&gt;4),"",IF(VALUE(E134)&lt;=4,VALUE(E134),""))</f>
        <v>0</v>
      </c>
      <c r="I134" s="6" t="n">
        <f aca="false">IF(G134="",0,(RANK(G134,KFPat,0)))</f>
        <v>1</v>
      </c>
      <c r="J134" s="6" t="n">
        <f aca="false">IF(H134="",0,(RANK(H134,KFTer,0)))</f>
        <v>1</v>
      </c>
      <c r="K134" s="6" t="n">
        <f aca="false">I134-J134</f>
        <v>0</v>
      </c>
      <c r="L134" s="6" t="n">
        <f aca="false">K134^2</f>
        <v>0</v>
      </c>
      <c r="P134" s="53"/>
      <c r="Q134" s="0" t="s">
        <v>44</v>
      </c>
      <c r="R134" s="51" t="e">
        <f aca="false">R133*R129</f>
        <v>#REF!</v>
      </c>
      <c r="S134" s="51" t="e">
        <f aca="false">S133*S129</f>
        <v>#REF!</v>
      </c>
      <c r="T134" s="51" t="n">
        <f aca="false">T133*T129</f>
        <v>0</v>
      </c>
      <c r="U134" s="51" t="e">
        <f aca="false">U133*U129</f>
        <v>#REF!</v>
      </c>
      <c r="V134" s="51" t="n">
        <f aca="false">V133*V129</f>
        <v>0</v>
      </c>
      <c r="W134" s="41" t="e">
        <f aca="false">SUM(R134:V134)</f>
        <v>#REF!</v>
      </c>
    </row>
    <row collapsed="false" customFormat="false" customHeight="true" hidden="false" ht="12.25" outlineLevel="0" r="135">
      <c r="P135" s="46" t="n">
        <v>4</v>
      </c>
      <c r="Q135" s="47" t="s">
        <v>32</v>
      </c>
      <c r="R135" s="48" t="n">
        <f aca="false">COUNTIFS(KFPat,"4",KFTer,"0")</f>
        <v>0</v>
      </c>
      <c r="S135" s="48" t="n">
        <f aca="false">COUNTIFS(KFPat,"4",KFTer,"1")</f>
        <v>0</v>
      </c>
      <c r="T135" s="48" t="n">
        <f aca="false">COUNTIFS(KFPat,"4",KFTer,"3")</f>
        <v>0</v>
      </c>
      <c r="U135" s="48" t="n">
        <f aca="false">COUNTIFS(KFPat,"4",KFTer,"3")</f>
        <v>0</v>
      </c>
      <c r="V135" s="48" t="n">
        <f aca="false">COUNTIFS(KFPat,"4",KFTer,"4")</f>
        <v>0</v>
      </c>
      <c r="W135" s="47" t="n">
        <f aca="false">SUM(R135:V135)</f>
        <v>0</v>
      </c>
    </row>
    <row collapsed="false" customFormat="false" customHeight="true" hidden="false" ht="12.25" outlineLevel="0" r="136">
      <c r="B136" s="65"/>
      <c r="C136" s="65"/>
      <c r="D136" s="66"/>
      <c r="E136" s="67"/>
      <c r="H136" s="68" t="n">
        <f aca="false">IF(OR(D136="",E136="",VALUE(D136)&gt;4,VALUE(E136)&gt;4),"",IF(VALUE(E136)&lt;=4,E136,""))</f>
        <v>0</v>
      </c>
      <c r="P136" s="69"/>
      <c r="Q136" s="0" t="s">
        <v>34</v>
      </c>
      <c r="R136" s="51" t="n">
        <f aca="false">$W135*R$142/$W$142</f>
        <v>0</v>
      </c>
      <c r="S136" s="51" t="n">
        <f aca="false">$W135*S$142/$W$142</f>
        <v>0</v>
      </c>
      <c r="T136" s="51" t="n">
        <f aca="false">$W135*T$142/$W$142</f>
        <v>0</v>
      </c>
      <c r="U136" s="51" t="n">
        <f aca="false">$W135*U$142/$W$142</f>
        <v>0</v>
      </c>
      <c r="V136" s="51" t="n">
        <f aca="false">$W135*V$142/$W$142</f>
        <v>0</v>
      </c>
      <c r="W136" s="41"/>
    </row>
    <row collapsed="false" customFormat="false" customHeight="true" hidden="false" ht="12.25" outlineLevel="0" r="137">
      <c r="B137" s="70"/>
      <c r="C137" s="71"/>
      <c r="D137" s="72" t="n">
        <f aca="false">COUNTA(D107:D136)</f>
        <v>1</v>
      </c>
      <c r="E137" s="72" t="n">
        <f aca="false">COUNTA(E107:E136)</f>
        <v>1</v>
      </c>
      <c r="G137" s="73" t="n">
        <f aca="false">COUNT(G107:G135)</f>
        <v>1</v>
      </c>
      <c r="H137" s="73" t="n">
        <f aca="false">COUNT(H107:H135)</f>
        <v>1</v>
      </c>
      <c r="K137" s="74" t="s">
        <v>57</v>
      </c>
      <c r="L137" s="75" t="n">
        <f aca="false">SUM(L107:L135)</f>
        <v>0</v>
      </c>
      <c r="P137" s="69"/>
      <c r="Q137" s="0" t="s">
        <v>36</v>
      </c>
      <c r="R137" s="51" t="e">
        <f aca="false">Z113</f>
        <v>#REF!</v>
      </c>
      <c r="S137" s="51" t="e">
        <f aca="false">Z112</f>
        <v>#REF!</v>
      </c>
      <c r="T137" s="51" t="e">
        <f aca="false">Z111</f>
        <v>#REF!</v>
      </c>
      <c r="U137" s="0" t="n">
        <v>0.25</v>
      </c>
      <c r="V137" s="51" t="e">
        <f aca="false">Z109</f>
        <v>#REF!</v>
      </c>
      <c r="W137" s="41"/>
    </row>
    <row collapsed="false" customFormat="false" customHeight="true" hidden="false" ht="12.25" outlineLevel="0" r="138">
      <c r="B138" s="70"/>
      <c r="D138" s="0" t="n">
        <f aca="false">SUM(D107:D134)</f>
        <v>1</v>
      </c>
      <c r="P138" s="69"/>
      <c r="Q138" s="0" t="s">
        <v>38</v>
      </c>
      <c r="R138" s="51" t="e">
        <f aca="false">R135*R137</f>
        <v>#REF!</v>
      </c>
      <c r="S138" s="51" t="e">
        <f aca="false">S135*S137</f>
        <v>#REF!</v>
      </c>
      <c r="T138" s="51" t="e">
        <f aca="false">T135*T137</f>
        <v>#REF!</v>
      </c>
      <c r="U138" s="51" t="n">
        <f aca="false">U135*U137</f>
        <v>0</v>
      </c>
      <c r="V138" s="51" t="e">
        <f aca="false">V135*V137</f>
        <v>#REF!</v>
      </c>
      <c r="W138" s="41" t="e">
        <f aca="false">SUM(R138:V138)</f>
        <v>#REF!</v>
      </c>
    </row>
    <row collapsed="false" customFormat="false" customHeight="true" hidden="false" ht="12.25" outlineLevel="0" r="139">
      <c r="B139" s="65"/>
      <c r="C139" s="76"/>
      <c r="D139" s="77" t="n">
        <f aca="false">D137*4</f>
        <v>4</v>
      </c>
      <c r="E139" s="75" t="n">
        <f aca="false">E137*4</f>
        <v>4</v>
      </c>
      <c r="F139" s="74" t="s">
        <v>14</v>
      </c>
      <c r="G139" s="77" t="n">
        <f aca="false">SUM(KFPat)</f>
        <v>1</v>
      </c>
      <c r="H139" s="75" t="n">
        <f aca="false">SUM(KFTer)</f>
        <v>0</v>
      </c>
      <c r="L139" s="78" t="e">
        <f aca="false">1-((6*L137)/(H137*((H137^2)-1)))</f>
        <v>#DIV/0!</v>
      </c>
      <c r="P139" s="69"/>
      <c r="Q139" s="0" t="s">
        <v>40</v>
      </c>
      <c r="R139" s="51" t="e">
        <f aca="false">R137*R136</f>
        <v>#REF!</v>
      </c>
      <c r="S139" s="51" t="e">
        <f aca="false">S137*S136</f>
        <v>#REF!</v>
      </c>
      <c r="T139" s="51" t="e">
        <f aca="false">T137*T136</f>
        <v>#REF!</v>
      </c>
      <c r="U139" s="51" t="n">
        <f aca="false">U137*U136</f>
        <v>0</v>
      </c>
      <c r="V139" s="51" t="e">
        <f aca="false">V137*V136</f>
        <v>#REF!</v>
      </c>
      <c r="W139" s="41" t="e">
        <f aca="false">SUM(R139:V139)</f>
        <v>#REF!</v>
      </c>
    </row>
    <row collapsed="false" customFormat="false" customHeight="true" hidden="false" ht="12.25" outlineLevel="0" r="140">
      <c r="B140" s="65"/>
      <c r="P140" s="69"/>
      <c r="Q140" s="0" t="s">
        <v>42</v>
      </c>
      <c r="R140" s="51" t="e">
        <f aca="false">R137^2</f>
        <v>#REF!</v>
      </c>
      <c r="S140" s="51" t="e">
        <f aca="false">S137^2</f>
        <v>#REF!</v>
      </c>
      <c r="T140" s="51" t="e">
        <f aca="false">T137^2</f>
        <v>#REF!</v>
      </c>
      <c r="U140" s="51" t="n">
        <f aca="false">U137^2</f>
        <v>0.0625</v>
      </c>
      <c r="V140" s="51" t="e">
        <f aca="false">V137^2</f>
        <v>#REF!</v>
      </c>
      <c r="W140" s="41"/>
    </row>
    <row collapsed="false" customFormat="false" customHeight="true" hidden="false" ht="12.25" outlineLevel="0" r="141">
      <c r="B141" s="70"/>
      <c r="P141" s="79"/>
      <c r="Q141" s="0" t="s">
        <v>44</v>
      </c>
      <c r="R141" s="51" t="e">
        <f aca="false">R140*R136</f>
        <v>#REF!</v>
      </c>
      <c r="S141" s="51" t="e">
        <f aca="false">S140*S136</f>
        <v>#REF!</v>
      </c>
      <c r="T141" s="51" t="e">
        <f aca="false">T140*T136</f>
        <v>#REF!</v>
      </c>
      <c r="U141" s="51" t="n">
        <f aca="false">U140*U136</f>
        <v>0</v>
      </c>
      <c r="V141" s="51" t="e">
        <f aca="false">V140*V136</f>
        <v>#REF!</v>
      </c>
      <c r="W141" s="41" t="e">
        <f aca="false">SUM(R141:V141)</f>
        <v>#REF!</v>
      </c>
    </row>
    <row collapsed="false" customFormat="false" customHeight="true" hidden="false" ht="12.25" outlineLevel="0" r="142">
      <c r="B142" s="70"/>
      <c r="C142" s="16"/>
      <c r="D142" s="80"/>
      <c r="E142" s="81" t="e">
        <f aca="false">L139</f>
        <v>#DIV/0!</v>
      </c>
      <c r="F142" s="0" t="s">
        <v>58</v>
      </c>
      <c r="P142" s="47" t="s">
        <v>59</v>
      </c>
      <c r="Q142" s="47"/>
      <c r="R142" s="47" t="n">
        <f aca="false">SUM(R135,R128,R121,R114,R107)</f>
        <v>1</v>
      </c>
      <c r="S142" s="47" t="n">
        <f aca="false">SUM(S135,S128,S121,S114,S107)</f>
        <v>0</v>
      </c>
      <c r="T142" s="47" t="n">
        <f aca="false">SUM(T135,T128,T121,T114,T107)</f>
        <v>0</v>
      </c>
      <c r="U142" s="47" t="n">
        <f aca="false">SUM(U135,U128,U121,U114,U107)</f>
        <v>0</v>
      </c>
      <c r="V142" s="47" t="n">
        <f aca="false">SUM(V135,V128,V121,V114,V107)</f>
        <v>0</v>
      </c>
      <c r="W142" s="47" t="n">
        <f aca="false">SUM(R142:V142)</f>
        <v>1</v>
      </c>
    </row>
    <row collapsed="false" customFormat="false" customHeight="true" hidden="false" ht="12.25" outlineLevel="0" r="143">
      <c r="B143" s="70"/>
      <c r="C143" s="16"/>
      <c r="D143" s="80"/>
      <c r="E143" s="73" t="e">
        <f aca="false">PEARSON(G108:G136,H108:H136)</f>
        <v>#DIV/0!</v>
      </c>
      <c r="S143" s="0"/>
    </row>
    <row collapsed="false" customFormat="false" customHeight="true" hidden="false" ht="12.25" outlineLevel="0" r="144">
      <c r="B144" s="70"/>
      <c r="C144" s="82"/>
      <c r="D144" s="80"/>
      <c r="E144" s="73"/>
      <c r="S144" s="0"/>
    </row>
    <row collapsed="false" customFormat="false" customHeight="true" hidden="false" ht="12.25" outlineLevel="0" r="145">
      <c r="B145" s="70"/>
      <c r="C145" s="82"/>
      <c r="D145" s="80" t="n">
        <f aca="false">COUNTIF($D$107:$D$135,"0")</f>
        <v>0</v>
      </c>
      <c r="E145" s="80" t="n">
        <f aca="false">COUNTIF($E$107:$E$135,"0")</f>
        <v>1</v>
      </c>
      <c r="S145" s="0"/>
    </row>
    <row collapsed="false" customFormat="false" customHeight="true" hidden="false" ht="12.25" outlineLevel="0" r="146">
      <c r="B146" s="70"/>
      <c r="C146" s="82"/>
      <c r="D146" s="80" t="n">
        <f aca="false">COUNTIF($D$107:$D$135,"1")</f>
        <v>1</v>
      </c>
      <c r="E146" s="80" t="n">
        <f aca="false">COUNTIF($E$107:$E$135,"1")</f>
        <v>0</v>
      </c>
      <c r="S146" s="0"/>
    </row>
    <row collapsed="false" customFormat="false" customHeight="true" hidden="false" ht="12.25" outlineLevel="0" r="147">
      <c r="B147" s="70"/>
      <c r="C147" s="82"/>
      <c r="D147" s="80" t="n">
        <f aca="false">COUNTIF($D$107:$D$135,"3")</f>
        <v>0</v>
      </c>
      <c r="E147" s="80" t="n">
        <f aca="false">COUNTIF($E$107:$E$135,"2")</f>
        <v>0</v>
      </c>
      <c r="S147" s="0"/>
    </row>
    <row collapsed="false" customFormat="false" customHeight="true" hidden="false" ht="12.25" outlineLevel="0" r="148">
      <c r="B148" s="70"/>
      <c r="C148" s="82"/>
      <c r="D148" s="80" t="n">
        <f aca="false">COUNTIF($D$107:$D$135,"3")</f>
        <v>0</v>
      </c>
      <c r="E148" s="80" t="n">
        <f aca="false">COUNTIF($E$107:$E$135,"3")</f>
        <v>0</v>
      </c>
      <c r="S148" s="0"/>
    </row>
    <row collapsed="false" customFormat="false" customHeight="true" hidden="false" ht="12.25" outlineLevel="0" r="149">
      <c r="B149" s="70"/>
      <c r="C149" s="82"/>
      <c r="D149" s="80" t="n">
        <f aca="false">COUNTIF($D$107:$D$135,"4")</f>
        <v>0</v>
      </c>
      <c r="E149" s="80" t="n">
        <f aca="false">COUNTIF($E$107:$E$135,"4")</f>
        <v>0</v>
      </c>
      <c r="S149" s="0"/>
    </row>
    <row collapsed="false" customFormat="false" customHeight="true" hidden="false" ht="12.25" outlineLevel="0" r="150">
      <c r="B150" s="70"/>
      <c r="C150" s="82"/>
      <c r="D150" s="80" t="n">
        <f aca="false">COUNTIF($D$107:$D$135,"8")</f>
        <v>0</v>
      </c>
      <c r="E150" s="80" t="n">
        <f aca="false">COUNTIF($E$107:$E$135,"8")</f>
        <v>0</v>
      </c>
      <c r="S150" s="0"/>
    </row>
    <row collapsed="false" customFormat="false" customHeight="true" hidden="false" ht="12.25" outlineLevel="0" r="151">
      <c r="B151" s="70"/>
      <c r="C151" s="82"/>
      <c r="D151" s="80" t="n">
        <f aca="false">COUNTIF($D$107:$D$135,"9")</f>
        <v>0</v>
      </c>
      <c r="E151" s="80" t="n">
        <f aca="false">COUNTIF($E$107:$E$135,"9")</f>
        <v>0</v>
      </c>
      <c r="S151" s="0"/>
    </row>
    <row collapsed="false" customFormat="false" customHeight="true" hidden="false" ht="12.25" outlineLevel="0" r="152">
      <c r="B152" s="70"/>
      <c r="C152" s="16"/>
      <c r="D152" s="16"/>
      <c r="E152" s="16"/>
      <c r="F152" s="16"/>
      <c r="G152" s="16" t="n">
        <f aca="false">MEDIAN(G108:G136)</f>
        <v>1</v>
      </c>
      <c r="H152" s="16" t="n">
        <f aca="false">MEDIAN(H108:H136)</f>
        <v>0</v>
      </c>
      <c r="S152" s="0"/>
    </row>
    <row collapsed="false" customFormat="false" customHeight="true" hidden="false" ht="12.25" outlineLevel="0" r="153">
      <c r="B153" s="70"/>
      <c r="C153" s="16"/>
      <c r="D153" s="16"/>
      <c r="E153" s="16"/>
      <c r="F153" s="16"/>
      <c r="G153" s="16" t="e">
        <f aca="false">MODE(G108:G136)</f>
        <v>#VALUE!</v>
      </c>
      <c r="H153" s="16" t="e">
        <f aca="false">MODE(H108:H136)</f>
        <v>#VALUE!</v>
      </c>
      <c r="S153" s="0"/>
    </row>
    <row collapsed="false" customFormat="false" customHeight="true" hidden="false" ht="12.25" outlineLevel="0" r="154">
      <c r="B154" s="70"/>
      <c r="C154" s="16"/>
      <c r="D154" s="16"/>
      <c r="E154" s="16"/>
      <c r="F154" s="16"/>
      <c r="G154" s="16" t="n">
        <f aca="false">AVERAGE(G108:G136)</f>
        <v>1</v>
      </c>
      <c r="H154" s="16" t="n">
        <f aca="false">AVERAGE(H108:H136)</f>
        <v>0</v>
      </c>
      <c r="S154" s="0"/>
    </row>
    <row collapsed="false" customFormat="false" customHeight="true" hidden="false" ht="12.25" outlineLevel="0" r="155">
      <c r="B155" s="70"/>
      <c r="C155" s="82"/>
      <c r="D155" s="80"/>
      <c r="E155" s="80"/>
      <c r="S155" s="0"/>
    </row>
    <row collapsed="false" customFormat="false" customHeight="true" hidden="false" ht="12.25" outlineLevel="0" r="156">
      <c r="B156" s="70"/>
      <c r="C156" s="82"/>
      <c r="D156" s="80"/>
      <c r="E156" s="80"/>
      <c r="S156" s="0"/>
    </row>
    <row collapsed="false" customFormat="false" customHeight="true" hidden="false" ht="12.25" outlineLevel="0" r="157">
      <c r="B157" s="70"/>
      <c r="C157" s="71"/>
      <c r="D157" s="83"/>
      <c r="E157" s="84"/>
    </row>
    <row collapsed="false" customFormat="false" customHeight="true" hidden="false" ht="12.25" outlineLevel="0" r="158">
      <c r="B158" s="70"/>
      <c r="C158" s="71"/>
      <c r="D158" s="83"/>
      <c r="E158" s="84"/>
      <c r="P158" s="35" t="s">
        <v>22</v>
      </c>
    </row>
    <row collapsed="false" customFormat="false" customHeight="true" hidden="false" ht="12.25" outlineLevel="0" r="159">
      <c r="B159" s="70"/>
      <c r="C159" s="71"/>
      <c r="D159" s="83"/>
      <c r="E159" s="84"/>
      <c r="G159" s="0" t="s">
        <v>1</v>
      </c>
    </row>
    <row collapsed="false" customFormat="false" customHeight="true" hidden="false" ht="12.25" outlineLevel="0" r="160">
      <c r="B160" s="70"/>
      <c r="C160" s="70"/>
      <c r="D160" s="62"/>
      <c r="E160" s="63"/>
      <c r="Q160" s="0" t="s">
        <v>24</v>
      </c>
      <c r="S160" s="0"/>
    </row>
    <row collapsed="false" customFormat="false" customHeight="true" hidden="false" ht="12.25" outlineLevel="0" r="161">
      <c r="B161" s="7"/>
      <c r="C161" s="7"/>
      <c r="D161" s="85"/>
      <c r="E161" s="86"/>
      <c r="G161" s="37" t="s">
        <v>25</v>
      </c>
      <c r="H161" s="38" t="s">
        <v>24</v>
      </c>
      <c r="I161" s="6" t="s">
        <v>60</v>
      </c>
      <c r="J161" s="6" t="s">
        <v>61</v>
      </c>
      <c r="K161" s="6" t="s">
        <v>62</v>
      </c>
      <c r="L161" s="16" t="s">
        <v>29</v>
      </c>
      <c r="P161" s="0" t="s">
        <v>25</v>
      </c>
      <c r="R161" s="39" t="n">
        <v>0</v>
      </c>
      <c r="S161" s="39" t="n">
        <v>1</v>
      </c>
      <c r="T161" s="39" t="n">
        <v>2</v>
      </c>
      <c r="U161" s="39" t="n">
        <v>3</v>
      </c>
      <c r="V161" s="39" t="n">
        <v>4</v>
      </c>
      <c r="W161" s="40" t="s">
        <v>30</v>
      </c>
      <c r="Y161" s="41" t="s">
        <v>31</v>
      </c>
    </row>
    <row collapsed="false" customFormat="false" customHeight="true" hidden="false" ht="12.25" outlineLevel="0" r="162">
      <c r="B162" s="42"/>
      <c r="C162" s="43"/>
      <c r="D162" s="62" t="n">
        <v>4</v>
      </c>
      <c r="E162" s="63" t="s">
        <v>63</v>
      </c>
      <c r="G162" s="20" t="n">
        <f aca="false">IF(OR(D162="",E162="",VALUE(D162)&gt;4,VALUE(E162)&gt;4),"",IF(VALUE(D162)&lt;=4,VALUE(D162),""))</f>
        <v>4</v>
      </c>
      <c r="H162" s="20" t="n">
        <f aca="false">IF(OR(D162="",E162="",VALUE(D162)&gt;4,VALUE(E162)&gt;4),"",IF(VALUE(E162)&lt;=4,VALUE(E162),""))</f>
        <v>3</v>
      </c>
      <c r="I162" s="16" t="e">
        <f aca="false">IF(G162="",0,(RANK(G162,KFPat,0)))</f>
        <v>#VALUE!</v>
      </c>
      <c r="J162" s="16" t="e">
        <f aca="false">IF(H162="",0,(RANK(H162,KFTer,0)))</f>
        <v>#VALUE!</v>
      </c>
      <c r="K162" s="16" t="e">
        <f aca="false">I162-J162</f>
        <v>#VALUE!</v>
      </c>
      <c r="L162" s="16" t="e">
        <f aca="false">K162^2</f>
        <v>#VALUE!</v>
      </c>
      <c r="P162" s="46" t="n">
        <v>0</v>
      </c>
      <c r="Q162" s="47" t="s">
        <v>32</v>
      </c>
      <c r="R162" s="48" t="n">
        <f aca="false">COUNTIFS(ATPat,"0",ATTer,"0")</f>
        <v>0</v>
      </c>
      <c r="S162" s="48" t="n">
        <f aca="false">COUNTIFS(ATPat,"0",ATTer,"1")</f>
        <v>0</v>
      </c>
      <c r="T162" s="48" t="n">
        <f aca="false">COUNTIFS(ATPat,"0",ATTer,"2")</f>
        <v>0</v>
      </c>
      <c r="U162" s="48" t="n">
        <f aca="false">COUNTIFS(ATPat,"0",ATTer,"3")</f>
        <v>0</v>
      </c>
      <c r="V162" s="48" t="n">
        <f aca="false">COUNTIFS(ATPat,"0",ATTer,"4")</f>
        <v>0</v>
      </c>
      <c r="W162" s="47" t="n">
        <f aca="false">SUM(R162:V162)</f>
        <v>0</v>
      </c>
      <c r="Y162" s="41" t="s">
        <v>33</v>
      </c>
      <c r="Z162" s="41"/>
    </row>
    <row collapsed="false" customFormat="false" customHeight="true" hidden="false" ht="12.25" outlineLevel="0" r="163">
      <c r="B163" s="42"/>
      <c r="C163" s="43"/>
      <c r="D163" s="62" t="n">
        <v>4</v>
      </c>
      <c r="E163" s="63" t="n">
        <v>2</v>
      </c>
      <c r="G163" s="20" t="n">
        <f aca="false">IF(OR(D163="",E163="",VALUE(D163)&gt;4,VALUE(E163)&gt;4),"",IF(VALUE(D163)&lt;=4,VALUE(D163),""))</f>
        <v>4</v>
      </c>
      <c r="H163" s="20" t="n">
        <f aca="false">IF(OR(D163="",E163="",VALUE(D163)&gt;4,VALUE(E163)&gt;4),"",IF(VALUE(E163)&lt;=4,VALUE(E163),""))</f>
        <v>2</v>
      </c>
      <c r="I163" s="16" t="e">
        <f aca="false">IF(G163="",0,(RANK(G163,KFPat,0)))</f>
        <v>#VALUE!</v>
      </c>
      <c r="J163" s="16" t="e">
        <f aca="false">IF(H163="",0,(RANK(H163,KFTer,0)))</f>
        <v>#VALUE!</v>
      </c>
      <c r="K163" s="16" t="e">
        <f aca="false">I163-J163</f>
        <v>#VALUE!</v>
      </c>
      <c r="L163" s="16" t="e">
        <f aca="false">K163^2</f>
        <v>#VALUE!</v>
      </c>
      <c r="P163" s="50"/>
      <c r="Q163" s="0" t="s">
        <v>34</v>
      </c>
      <c r="R163" s="51" t="n">
        <f aca="false">$W162*R$197/$H$200</f>
        <v>0</v>
      </c>
      <c r="S163" s="51" t="n">
        <f aca="false">$W162*S$197/$H$200</f>
        <v>0</v>
      </c>
      <c r="T163" s="51" t="n">
        <f aca="false">$W162*T$197/$H$200</f>
        <v>0</v>
      </c>
      <c r="U163" s="51" t="n">
        <f aca="false">$W162*U$197/$H$200</f>
        <v>0</v>
      </c>
      <c r="V163" s="51" t="n">
        <f aca="false">$W162*V$197/$H$200</f>
        <v>0</v>
      </c>
      <c r="W163" s="41"/>
      <c r="Y163" s="41" t="s">
        <v>35</v>
      </c>
    </row>
    <row collapsed="false" customFormat="false" customHeight="true" hidden="false" ht="12.25" outlineLevel="0" r="164">
      <c r="B164" s="42"/>
      <c r="C164" s="43"/>
      <c r="D164" s="62" t="n">
        <v>4</v>
      </c>
      <c r="E164" s="63" t="n">
        <v>3</v>
      </c>
      <c r="G164" s="20" t="n">
        <f aca="false">IF(OR(D164="",E164="",VALUE(D164)&gt;4,VALUE(E164)&gt;4),"",IF(VALUE(D164)&lt;=4,VALUE(D164),""))</f>
        <v>4</v>
      </c>
      <c r="H164" s="20" t="n">
        <f aca="false">IF(OR(D164="",E164="",VALUE(D164)&gt;4,VALUE(E164)&gt;4),"",IF(VALUE(E164)&lt;=4,VALUE(E164),""))</f>
        <v>3</v>
      </c>
      <c r="I164" s="16" t="e">
        <f aca="false">IF(G164="",0,(RANK(G164,KFPat,0)))</f>
        <v>#VALUE!</v>
      </c>
      <c r="J164" s="16" t="e">
        <f aca="false">IF(H164="",0,(RANK(H164,KFTer,0)))</f>
        <v>#VALUE!</v>
      </c>
      <c r="K164" s="16" t="e">
        <f aca="false">I164-J164</f>
        <v>#VALUE!</v>
      </c>
      <c r="L164" s="16" t="e">
        <f aca="false">K164^2</f>
        <v>#VALUE!</v>
      </c>
      <c r="P164" s="50"/>
      <c r="Q164" s="0" t="s">
        <v>36</v>
      </c>
      <c r="R164" s="51" t="n">
        <f aca="false">Z164</f>
        <v>0</v>
      </c>
      <c r="S164" s="51" t="n">
        <f aca="false">Z165</f>
        <v>0.25</v>
      </c>
      <c r="T164" s="51" t="n">
        <f aca="false">Z166</f>
        <v>0.5</v>
      </c>
      <c r="U164" s="51" t="n">
        <f aca="false">Z167</f>
        <v>0.75</v>
      </c>
      <c r="V164" s="51" t="n">
        <f aca="false">Z168</f>
        <v>1</v>
      </c>
      <c r="W164" s="41"/>
      <c r="Y164" s="41" t="s">
        <v>37</v>
      </c>
      <c r="Z164" s="52" t="n">
        <v>0</v>
      </c>
    </row>
    <row collapsed="false" customFormat="false" customHeight="true" hidden="false" ht="12.25" outlineLevel="0" r="165">
      <c r="B165" s="42"/>
      <c r="C165" s="43"/>
      <c r="D165" s="62" t="n">
        <v>1</v>
      </c>
      <c r="E165" s="63"/>
      <c r="G165" s="20" t="n">
        <f aca="false">IF(OR(D165="",E165="",VALUE(D165)&gt;4,VALUE(E165)&gt;4),"",IF(VALUE(D165)&lt;=4,VALUE(D165),""))</f>
        <v>0</v>
      </c>
      <c r="H165" s="20" t="n">
        <f aca="false">IF(OR(D165="",E165="",VALUE(D165)&gt;4,VALUE(E165)&gt;4),"",IF(VALUE(E165)&lt;=4,VALUE(E165),""))</f>
        <v>0</v>
      </c>
      <c r="I165" s="16" t="n">
        <f aca="false">IF(G165="",0,(RANK(G165,KFPat,0)))</f>
        <v>0</v>
      </c>
      <c r="J165" s="16" t="n">
        <f aca="false">IF(H165="",0,(RANK(H165,KFTer,0)))</f>
        <v>0</v>
      </c>
      <c r="K165" s="16" t="n">
        <f aca="false">I165-J165</f>
        <v>0</v>
      </c>
      <c r="L165" s="16" t="n">
        <f aca="false">K165^2</f>
        <v>0</v>
      </c>
      <c r="P165" s="50"/>
      <c r="Q165" s="0" t="s">
        <v>38</v>
      </c>
      <c r="R165" s="51" t="n">
        <f aca="false">R162*R164</f>
        <v>0</v>
      </c>
      <c r="S165" s="51" t="n">
        <f aca="false">S162*S164</f>
        <v>0</v>
      </c>
      <c r="T165" s="51" t="n">
        <f aca="false">T162*T164</f>
        <v>0</v>
      </c>
      <c r="U165" s="51" t="n">
        <f aca="false">U162*U164</f>
        <v>0</v>
      </c>
      <c r="V165" s="51" t="n">
        <f aca="false">V162*V164</f>
        <v>0</v>
      </c>
      <c r="W165" s="41" t="n">
        <f aca="false">SUM(R165:V165)</f>
        <v>0</v>
      </c>
      <c r="Y165" s="41" t="s">
        <v>39</v>
      </c>
      <c r="Z165" s="52" t="n">
        <v>0.25</v>
      </c>
    </row>
    <row collapsed="false" customFormat="false" customHeight="true" hidden="false" ht="12.25" outlineLevel="0" r="166">
      <c r="B166" s="42"/>
      <c r="C166" s="43"/>
      <c r="D166" s="62"/>
      <c r="E166" s="63"/>
      <c r="G166" s="20" t="n">
        <f aca="false">IF(OR(D166="",E166="",VALUE(D166)&gt;4,VALUE(E166)&gt;4),"",IF(VALUE(D166)&lt;=4,VALUE(D166),""))</f>
        <v>0</v>
      </c>
      <c r="H166" s="20" t="n">
        <f aca="false">IF(OR(D166="",E166="",VALUE(D166)&gt;4,VALUE(E166)&gt;4),"",IF(VALUE(E166)&lt;=4,VALUE(E166),""))</f>
        <v>0</v>
      </c>
      <c r="I166" s="16" t="n">
        <f aca="false">IF(G166="",0,(RANK(G166,KFPat,0)))</f>
        <v>0</v>
      </c>
      <c r="J166" s="16" t="n">
        <f aca="false">IF(H166="",0,(RANK(H166,KFTer,0)))</f>
        <v>0</v>
      </c>
      <c r="K166" s="16" t="n">
        <f aca="false">I166-J166</f>
        <v>0</v>
      </c>
      <c r="L166" s="16" t="n">
        <f aca="false">K166^2</f>
        <v>0</v>
      </c>
      <c r="P166" s="50"/>
      <c r="Q166" s="0" t="s">
        <v>40</v>
      </c>
      <c r="R166" s="51" t="n">
        <f aca="false">R164*R163</f>
        <v>0</v>
      </c>
      <c r="S166" s="51" t="n">
        <f aca="false">S164*S163</f>
        <v>0</v>
      </c>
      <c r="T166" s="51" t="n">
        <f aca="false">T164*T163</f>
        <v>0</v>
      </c>
      <c r="U166" s="51" t="n">
        <f aca="false">U164*U163</f>
        <v>0</v>
      </c>
      <c r="V166" s="51" t="n">
        <f aca="false">V164*V163</f>
        <v>0</v>
      </c>
      <c r="W166" s="41" t="n">
        <f aca="false">SUM(R166:V166)</f>
        <v>0</v>
      </c>
      <c r="Y166" s="41" t="s">
        <v>41</v>
      </c>
      <c r="Z166" s="52" t="n">
        <v>0.5</v>
      </c>
    </row>
    <row collapsed="false" customFormat="false" customHeight="true" hidden="false" ht="12.25" outlineLevel="0" r="167">
      <c r="B167" s="42"/>
      <c r="C167" s="43"/>
      <c r="D167" s="62"/>
      <c r="E167" s="63"/>
      <c r="G167" s="20" t="n">
        <f aca="false">IF(OR(D167="",E167="",VALUE(D167)&gt;4,VALUE(E167)&gt;4),"",IF(VALUE(D167)&lt;=4,VALUE(D167),""))</f>
        <v>0</v>
      </c>
      <c r="H167" s="20" t="n">
        <f aca="false">IF(OR(D167="",E167="",VALUE(D167)&gt;4,VALUE(E167)&gt;4),"",IF(VALUE(E167)&lt;=4,VALUE(E167),""))</f>
        <v>0</v>
      </c>
      <c r="I167" s="16" t="n">
        <f aca="false">IF(G167="",0,(RANK(G167,KFPat,0)))</f>
        <v>0</v>
      </c>
      <c r="J167" s="16" t="n">
        <f aca="false">IF(H167="",0,(RANK(H167,KFTer,0)))</f>
        <v>0</v>
      </c>
      <c r="K167" s="16" t="n">
        <f aca="false">I167-J167</f>
        <v>0</v>
      </c>
      <c r="L167" s="16" t="n">
        <f aca="false">K167^2</f>
        <v>0</v>
      </c>
      <c r="P167" s="50"/>
      <c r="Q167" s="0" t="s">
        <v>42</v>
      </c>
      <c r="R167" s="51" t="n">
        <f aca="false">R164^2</f>
        <v>0</v>
      </c>
      <c r="S167" s="51" t="n">
        <f aca="false">S164^2</f>
        <v>0.0625</v>
      </c>
      <c r="T167" s="51" t="n">
        <f aca="false">T164^2</f>
        <v>0.25</v>
      </c>
      <c r="U167" s="51" t="n">
        <f aca="false">U164^2</f>
        <v>0.5625</v>
      </c>
      <c r="V167" s="51" t="n">
        <f aca="false">V164^2</f>
        <v>1</v>
      </c>
      <c r="W167" s="41"/>
      <c r="Y167" s="41" t="s">
        <v>43</v>
      </c>
      <c r="Z167" s="0" t="n">
        <v>0.75</v>
      </c>
    </row>
    <row collapsed="false" customFormat="false" customHeight="true" hidden="false" ht="12.25" outlineLevel="0" r="168">
      <c r="B168" s="42"/>
      <c r="C168" s="43"/>
      <c r="D168" s="62"/>
      <c r="E168" s="63"/>
      <c r="G168" s="20" t="n">
        <f aca="false">IF(OR(D168="",E168="",VALUE(D168)&gt;4,VALUE(E168)&gt;4),"",IF(VALUE(D168)&lt;=4,VALUE(D168),""))</f>
        <v>0</v>
      </c>
      <c r="H168" s="20" t="n">
        <f aca="false">IF(OR(D168="",E168="",VALUE(D168)&gt;4,VALUE(E168)&gt;4),"",IF(VALUE(E168)&lt;=4,VALUE(E168),""))</f>
        <v>0</v>
      </c>
      <c r="I168" s="16" t="n">
        <f aca="false">IF(G168="",0,(RANK(G168,KFPat,0)))</f>
        <v>0</v>
      </c>
      <c r="J168" s="16" t="n">
        <f aca="false">IF(H168="",0,(RANK(H168,KFTer,0)))</f>
        <v>0</v>
      </c>
      <c r="K168" s="16" t="n">
        <f aca="false">I168-J168</f>
        <v>0</v>
      </c>
      <c r="L168" s="16" t="n">
        <f aca="false">K168^2</f>
        <v>0</v>
      </c>
      <c r="P168" s="53"/>
      <c r="Q168" s="0" t="s">
        <v>44</v>
      </c>
      <c r="R168" s="51" t="n">
        <f aca="false">R167*R163</f>
        <v>0</v>
      </c>
      <c r="S168" s="51" t="n">
        <f aca="false">S167*S163</f>
        <v>0</v>
      </c>
      <c r="T168" s="51" t="n">
        <f aca="false">T167*T163</f>
        <v>0</v>
      </c>
      <c r="U168" s="51" t="n">
        <f aca="false">U167*U163</f>
        <v>0</v>
      </c>
      <c r="V168" s="51" t="n">
        <f aca="false">V167*V163</f>
        <v>0</v>
      </c>
      <c r="W168" s="41" t="n">
        <f aca="false">SUM(R168:V168)</f>
        <v>0</v>
      </c>
      <c r="Y168" s="41" t="s">
        <v>45</v>
      </c>
      <c r="Z168" s="52" t="n">
        <v>1</v>
      </c>
    </row>
    <row collapsed="false" customFormat="false" customHeight="true" hidden="false" ht="12.25" outlineLevel="0" r="169">
      <c r="B169" s="42"/>
      <c r="C169" s="43"/>
      <c r="D169" s="62"/>
      <c r="E169" s="63"/>
      <c r="G169" s="20" t="n">
        <f aca="false">IF(OR(D169="",E169="",VALUE(D169)&gt;4,VALUE(E169)&gt;4),"",IF(VALUE(D169)&lt;=4,VALUE(D169),""))</f>
        <v>0</v>
      </c>
      <c r="H169" s="20" t="n">
        <f aca="false">IF(OR(D169="",E169="",VALUE(D169)&gt;4,VALUE(E169)&gt;4),"",IF(VALUE(E169)&lt;=4,VALUE(E169),""))</f>
        <v>0</v>
      </c>
      <c r="I169" s="16" t="n">
        <f aca="false">IF(G169="",0,(RANK(G169,KFPat,0)))</f>
        <v>0</v>
      </c>
      <c r="J169" s="16" t="n">
        <f aca="false">IF(H169="",0,(RANK(H169,KFTer,0)))</f>
        <v>0</v>
      </c>
      <c r="K169" s="16" t="n">
        <f aca="false">I169-J169</f>
        <v>0</v>
      </c>
      <c r="L169" s="16" t="n">
        <f aca="false">K169^2</f>
        <v>0</v>
      </c>
      <c r="P169" s="46" t="n">
        <v>1</v>
      </c>
      <c r="Q169" s="47" t="s">
        <v>32</v>
      </c>
      <c r="R169" s="48" t="n">
        <f aca="false">COUNTIFS(ATPat,"1",ATTer,"0")</f>
        <v>0</v>
      </c>
      <c r="S169" s="48" t="n">
        <f aca="false">COUNTIFS(ATPat,"1",ATTer,"1")</f>
        <v>0</v>
      </c>
      <c r="T169" s="48" t="n">
        <f aca="false">COUNTIFS(ATPat,"1",ATTer,"2")</f>
        <v>0</v>
      </c>
      <c r="U169" s="48" t="n">
        <f aca="false">COUNTIFS(ATPat,"1",ATTer,"3")</f>
        <v>0</v>
      </c>
      <c r="V169" s="48" t="n">
        <f aca="false">COUNTIFS(ATPat,"1",ATTer,"4")</f>
        <v>0</v>
      </c>
      <c r="W169" s="47" t="n">
        <f aca="false">SUM(R169:V169)</f>
        <v>0</v>
      </c>
    </row>
    <row collapsed="false" customFormat="false" customHeight="false" hidden="false" ht="12.25" outlineLevel="0" r="170">
      <c r="B170" s="42"/>
      <c r="C170" s="42"/>
      <c r="E170" s="63"/>
      <c r="G170" s="20" t="n">
        <f aca="false">IF(OR(D170="",E170="",VALUE(D170)&gt;4,VALUE(E170)&gt;4),"",IF(VALUE(D170)&lt;=4,VALUE(D170),""))</f>
        <v>0</v>
      </c>
      <c r="H170" s="20" t="n">
        <f aca="false">IF(OR(D170="",E170="",VALUE(D170)&gt;4,VALUE(E170)&gt;4),"",IF(VALUE(E170)&lt;=4,VALUE(E170),""))</f>
        <v>0</v>
      </c>
      <c r="I170" s="16" t="n">
        <f aca="false">IF(G170="",0,(RANK(G170,KFPat,0)))</f>
        <v>0</v>
      </c>
      <c r="J170" s="16" t="n">
        <f aca="false">IF(H170="",0,(RANK(H170,KFTer,0)))</f>
        <v>0</v>
      </c>
      <c r="K170" s="16" t="n">
        <f aca="false">I170-J170</f>
        <v>0</v>
      </c>
      <c r="L170" s="16" t="n">
        <f aca="false">K170^2</f>
        <v>0</v>
      </c>
      <c r="P170" s="50"/>
      <c r="Q170" s="0" t="s">
        <v>34</v>
      </c>
      <c r="R170" s="51" t="n">
        <f aca="false">$W169*R$197/$H$200</f>
        <v>0</v>
      </c>
      <c r="S170" s="51" t="n">
        <f aca="false">$W169*S$197/$H$200</f>
        <v>0</v>
      </c>
      <c r="T170" s="51" t="n">
        <f aca="false">$W169*T$197/$H$200</f>
        <v>0</v>
      </c>
      <c r="U170" s="51" t="n">
        <f aca="false">$W169*U$197/$H$200</f>
        <v>0</v>
      </c>
      <c r="V170" s="51" t="n">
        <f aca="false">$W169*V$197/$H$200</f>
        <v>0</v>
      </c>
      <c r="W170" s="41"/>
      <c r="Y170" s="47" t="s">
        <v>46</v>
      </c>
      <c r="Z170" s="54" t="n">
        <f aca="false">SUM(W193,W186,W179,W172,W165)</f>
        <v>1.5</v>
      </c>
    </row>
    <row collapsed="false" customFormat="false" customHeight="false" hidden="false" ht="12.25" outlineLevel="0" r="171">
      <c r="B171" s="42"/>
      <c r="C171" s="43"/>
      <c r="D171" s="62"/>
      <c r="E171" s="63"/>
      <c r="G171" s="20" t="n">
        <f aca="false">IF(OR(D171="",E171="",VALUE(D171)&gt;4,VALUE(E171)&gt;4),"",IF(VALUE(D171)&lt;=4,VALUE(D171),""))</f>
        <v>0</v>
      </c>
      <c r="H171" s="20" t="n">
        <f aca="false">IF(OR(D171="",E171="",VALUE(D171)&gt;4,VALUE(E171)&gt;4),"",IF(VALUE(E171)&lt;=4,VALUE(E171),""))</f>
        <v>0</v>
      </c>
      <c r="I171" s="16" t="n">
        <f aca="false">IF(G171="",0,(RANK(G171,KFPat,0)))</f>
        <v>0</v>
      </c>
      <c r="J171" s="16" t="n">
        <f aca="false">IF(H171="",0,(RANK(H171,KFTer,0)))</f>
        <v>0</v>
      </c>
      <c r="K171" s="16" t="n">
        <f aca="false">I171-J171</f>
        <v>0</v>
      </c>
      <c r="L171" s="16" t="n">
        <f aca="false">K171^2</f>
        <v>0</v>
      </c>
      <c r="P171" s="50"/>
      <c r="Q171" s="0" t="s">
        <v>36</v>
      </c>
      <c r="R171" s="0" t="n">
        <v>0.25</v>
      </c>
      <c r="S171" s="51" t="n">
        <f aca="false">Z164</f>
        <v>0</v>
      </c>
      <c r="T171" s="0" t="n">
        <v>0.25</v>
      </c>
      <c r="U171" s="51" t="n">
        <f aca="false">Z166</f>
        <v>0.5</v>
      </c>
      <c r="V171" s="51" t="n">
        <f aca="false">Z167</f>
        <v>0.75</v>
      </c>
      <c r="W171" s="41"/>
      <c r="Y171" s="47" t="s">
        <v>47</v>
      </c>
      <c r="Z171" s="87" t="n">
        <f aca="false">SUM(W194,W187,W180,W173,W166)</f>
        <v>2</v>
      </c>
      <c r="AB171" s="0" t="s">
        <v>48</v>
      </c>
    </row>
    <row collapsed="false" customFormat="false" customHeight="true" hidden="false" ht="12.25" outlineLevel="0" r="172">
      <c r="B172" s="42"/>
      <c r="C172" s="43"/>
      <c r="D172" s="62"/>
      <c r="E172" s="63"/>
      <c r="G172" s="20" t="n">
        <f aca="false">IF(OR(D172="",E172="",VALUE(D172)&gt;4,VALUE(E172)&gt;4),"",IF(VALUE(D172)&lt;=4,VALUE(D172),""))</f>
        <v>0</v>
      </c>
      <c r="H172" s="20" t="n">
        <f aca="false">IF(OR(D172="",E172="",VALUE(D172)&gt;4,VALUE(E172)&gt;4),"",IF(VALUE(E172)&lt;=4,VALUE(E172),""))</f>
        <v>0</v>
      </c>
      <c r="I172" s="16" t="n">
        <f aca="false">IF(G172="",0,(RANK(G172,KFPat,0)))</f>
        <v>0</v>
      </c>
      <c r="J172" s="16" t="n">
        <f aca="false">IF(H172="",0,(RANK(H172,KFTer,0)))</f>
        <v>0</v>
      </c>
      <c r="K172" s="16" t="n">
        <f aca="false">I172-J172</f>
        <v>0</v>
      </c>
      <c r="L172" s="16" t="n">
        <f aca="false">K172^2</f>
        <v>0</v>
      </c>
      <c r="P172" s="50"/>
      <c r="Q172" s="0" t="s">
        <v>38</v>
      </c>
      <c r="R172" s="51" t="n">
        <f aca="false">R169*R171</f>
        <v>0</v>
      </c>
      <c r="S172" s="51" t="n">
        <f aca="false">S169*S171</f>
        <v>0</v>
      </c>
      <c r="T172" s="51" t="n">
        <f aca="false">T169*T171</f>
        <v>0</v>
      </c>
      <c r="U172" s="51" t="n">
        <f aca="false">U169*U171</f>
        <v>0</v>
      </c>
      <c r="V172" s="51" t="n">
        <f aca="false">V169*V171</f>
        <v>0</v>
      </c>
      <c r="W172" s="41" t="n">
        <f aca="false">SUM(R172:V172)</f>
        <v>0</v>
      </c>
      <c r="Y172" s="47" t="s">
        <v>49</v>
      </c>
      <c r="Z172" s="54" t="n">
        <f aca="false">1-(Z170/Z171)</f>
        <v>0.25</v>
      </c>
      <c r="AA172" s="0" t="s">
        <v>50</v>
      </c>
    </row>
    <row collapsed="false" customFormat="false" customHeight="true" hidden="false" ht="12.25" outlineLevel="0" r="173">
      <c r="B173" s="42"/>
      <c r="C173" s="43"/>
      <c r="D173" s="62"/>
      <c r="E173" s="63"/>
      <c r="G173" s="20" t="n">
        <f aca="false">IF(OR(D173="",E173="",VALUE(D173)&gt;4,VALUE(E173)&gt;4),"",IF(VALUE(D173)&lt;=4,VALUE(D173),""))</f>
        <v>0</v>
      </c>
      <c r="H173" s="20" t="n">
        <f aca="false">IF(OR(D173="",E173="",VALUE(D173)&gt;4,VALUE(E173)&gt;4),"",IF(VALUE(E173)&lt;=4,VALUE(E173),""))</f>
        <v>0</v>
      </c>
      <c r="I173" s="16" t="n">
        <f aca="false">IF(G173="",0,(RANK(G173,KFPat,0)))</f>
        <v>0</v>
      </c>
      <c r="J173" s="16" t="n">
        <f aca="false">IF(H173="",0,(RANK(H173,KFTer,0)))</f>
        <v>0</v>
      </c>
      <c r="K173" s="16" t="n">
        <f aca="false">I173-J173</f>
        <v>0</v>
      </c>
      <c r="L173" s="16" t="n">
        <f aca="false">K173^2</f>
        <v>0</v>
      </c>
      <c r="P173" s="50"/>
      <c r="Q173" s="0" t="s">
        <v>40</v>
      </c>
      <c r="R173" s="51" t="n">
        <f aca="false">R171*R170</f>
        <v>0</v>
      </c>
      <c r="S173" s="51" t="n">
        <f aca="false">S171*S170</f>
        <v>0</v>
      </c>
      <c r="T173" s="51" t="n">
        <f aca="false">T171*T170</f>
        <v>0</v>
      </c>
      <c r="U173" s="51" t="n">
        <f aca="false">U171*U170</f>
        <v>0</v>
      </c>
      <c r="V173" s="51" t="n">
        <f aca="false">V171*V170</f>
        <v>0</v>
      </c>
      <c r="W173" s="41" t="n">
        <f aca="false">SUM(R173:V173)</f>
        <v>0</v>
      </c>
    </row>
    <row collapsed="false" customFormat="false" customHeight="true" hidden="false" ht="12.25" outlineLevel="0" r="174">
      <c r="B174" s="42"/>
      <c r="C174" s="43"/>
      <c r="D174" s="62"/>
      <c r="E174" s="63"/>
      <c r="G174" s="20" t="n">
        <f aca="false">IF(OR(D174="",E174="",VALUE(D174)&gt;4,VALUE(E174)&gt;4),"",IF(VALUE(D174)&lt;=4,VALUE(D174),""))</f>
        <v>0</v>
      </c>
      <c r="H174" s="20" t="n">
        <f aca="false">IF(OR(D174="",E174="",VALUE(D174)&gt;4,VALUE(E174)&gt;4),"",IF(VALUE(E174)&lt;=4,VALUE(E174),""))</f>
        <v>0</v>
      </c>
      <c r="I174" s="16" t="n">
        <f aca="false">IF(G174="",0,(RANK(G174,KFPat,0)))</f>
        <v>0</v>
      </c>
      <c r="J174" s="16" t="n">
        <f aca="false">IF(H174="",0,(RANK(H174,KFTer,0)))</f>
        <v>0</v>
      </c>
      <c r="K174" s="16" t="n">
        <f aca="false">I174-J174</f>
        <v>0</v>
      </c>
      <c r="L174" s="16" t="n">
        <f aca="false">K174^2</f>
        <v>0</v>
      </c>
      <c r="P174" s="50"/>
      <c r="Q174" s="0" t="s">
        <v>42</v>
      </c>
      <c r="R174" s="51" t="n">
        <f aca="false">R171^2</f>
        <v>0.0625</v>
      </c>
      <c r="S174" s="51" t="n">
        <f aca="false">S171^2</f>
        <v>0</v>
      </c>
      <c r="T174" s="51" t="n">
        <f aca="false">T171^2</f>
        <v>0.0625</v>
      </c>
      <c r="U174" s="51" t="n">
        <f aca="false">U171^2</f>
        <v>0.25</v>
      </c>
      <c r="V174" s="51" t="n">
        <f aca="false">V171^2</f>
        <v>0.5625</v>
      </c>
      <c r="W174" s="41"/>
      <c r="Y174" s="55" t="s">
        <v>51</v>
      </c>
      <c r="Z174" s="56" t="n">
        <f aca="false">SUM(W196,W189,W182,W175,W168)</f>
        <v>0.833333333333333</v>
      </c>
    </row>
    <row collapsed="false" customFormat="false" customHeight="true" hidden="false" ht="12.25" outlineLevel="0" r="175">
      <c r="B175" s="42"/>
      <c r="C175" s="43"/>
      <c r="D175" s="62"/>
      <c r="E175" s="63"/>
      <c r="G175" s="20" t="n">
        <f aca="false">IF(OR(D175="",E175="",VALUE(D175)&gt;4,VALUE(E175)&gt;4),"",IF(VALUE(D175)&lt;=4,VALUE(D175),""))</f>
        <v>0</v>
      </c>
      <c r="H175" s="20" t="n">
        <f aca="false">IF(OR(D175="",E175="",VALUE(D175)&gt;4,VALUE(E175)&gt;4),"",IF(VALUE(E175)&lt;=4,VALUE(E175),""))</f>
        <v>0</v>
      </c>
      <c r="I175" s="16" t="n">
        <f aca="false">IF(G175="",0,(RANK(G175,KFPat,0)))</f>
        <v>0</v>
      </c>
      <c r="J175" s="16" t="n">
        <f aca="false">IF(H175="",0,(RANK(H175,KFTer,0)))</f>
        <v>0</v>
      </c>
      <c r="K175" s="16" t="n">
        <f aca="false">I175-J175</f>
        <v>0</v>
      </c>
      <c r="L175" s="16" t="n">
        <f aca="false">K175^2</f>
        <v>0</v>
      </c>
      <c r="P175" s="53"/>
      <c r="Q175" s="0" t="s">
        <v>44</v>
      </c>
      <c r="R175" s="51" t="n">
        <f aca="false">R174*R170</f>
        <v>0</v>
      </c>
      <c r="S175" s="51" t="n">
        <f aca="false">S174*S170</f>
        <v>0</v>
      </c>
      <c r="T175" s="51" t="n">
        <f aca="false">T174*T170</f>
        <v>0</v>
      </c>
      <c r="U175" s="51" t="n">
        <f aca="false">U174*U170</f>
        <v>0</v>
      </c>
      <c r="V175" s="51" t="n">
        <f aca="false">V174*V170</f>
        <v>0</v>
      </c>
      <c r="W175" s="41" t="n">
        <f aca="false">SUM(R175:V175)</f>
        <v>0</v>
      </c>
    </row>
    <row collapsed="false" customFormat="false" customHeight="true" hidden="false" ht="12.25" outlineLevel="0" r="176">
      <c r="B176" s="42"/>
      <c r="C176" s="43"/>
      <c r="D176" s="62"/>
      <c r="E176" s="63"/>
      <c r="G176" s="20" t="n">
        <f aca="false">IF(OR(D176="",E176="",VALUE(D176)&gt;4,VALUE(E176)&gt;4),"",IF(VALUE(D176)&lt;=4,VALUE(D176),""))</f>
        <v>0</v>
      </c>
      <c r="H176" s="20" t="n">
        <f aca="false">IF(OR(D176="",E176="",VALUE(D176)&gt;4,VALUE(E176)&gt;4),"",IF(VALUE(E176)&lt;=4,VALUE(E176),""))</f>
        <v>0</v>
      </c>
      <c r="I176" s="16" t="n">
        <f aca="false">IF(G176="",0,(RANK(G176,KFPat,0)))</f>
        <v>0</v>
      </c>
      <c r="J176" s="16" t="n">
        <f aca="false">IF(H176="",0,(RANK(H176,KFTer,0)))</f>
        <v>0</v>
      </c>
      <c r="K176" s="16" t="n">
        <f aca="false">I176-J176</f>
        <v>0</v>
      </c>
      <c r="L176" s="16" t="n">
        <f aca="false">K176^2</f>
        <v>0</v>
      </c>
      <c r="P176" s="46" t="n">
        <v>2</v>
      </c>
      <c r="Q176" s="47" t="s">
        <v>32</v>
      </c>
      <c r="R176" s="48" t="n">
        <f aca="false">COUNTIFS(ATPat,"2",ATTer,"0")</f>
        <v>0</v>
      </c>
      <c r="S176" s="48" t="n">
        <f aca="false">COUNTIFS(ATPat,"2",ATTer,"1")</f>
        <v>0</v>
      </c>
      <c r="T176" s="48" t="n">
        <f aca="false">COUNTIFS(ATPat,"2",ATTer,"2")</f>
        <v>0</v>
      </c>
      <c r="U176" s="48" t="n">
        <f aca="false">COUNTIFS(ATPat,"2",ATTer,"3")</f>
        <v>0</v>
      </c>
      <c r="V176" s="48" t="n">
        <f aca="false">COUNTIFS(ATPat,"2",ATTer,"4")</f>
        <v>0</v>
      </c>
      <c r="W176" s="47" t="n">
        <f aca="false">SUM(R176:V176)</f>
        <v>0</v>
      </c>
      <c r="Y176" s="55" t="s">
        <v>52</v>
      </c>
      <c r="Z176" s="56" t="e">
        <f aca="false">SQRT(((W197*Z174-Z171^2)/(W197*Z171^2)))</f>
        <v>#VALUE!</v>
      </c>
      <c r="AA176" s="59" t="s">
        <v>53</v>
      </c>
    </row>
    <row collapsed="false" customFormat="false" customHeight="false" hidden="false" ht="12.25" outlineLevel="0" r="177">
      <c r="B177" s="42"/>
      <c r="C177" s="43"/>
      <c r="D177" s="62"/>
      <c r="E177" s="63"/>
      <c r="G177" s="20" t="n">
        <f aca="false">IF(OR(D177="",E177="",VALUE(D177)&gt;4,VALUE(E177)&gt;4),"",IF(VALUE(D177)&lt;=4,VALUE(D177),""))</f>
        <v>0</v>
      </c>
      <c r="H177" s="20" t="n">
        <f aca="false">IF(OR(D177="",E177="",VALUE(D177)&gt;4,VALUE(E177)&gt;4),"",IF(VALUE(E177)&lt;=4,VALUE(E177),""))</f>
        <v>0</v>
      </c>
      <c r="I177" s="16" t="n">
        <f aca="false">IF(G177="",0,(RANK(G177,KFPat,0)))</f>
        <v>0</v>
      </c>
      <c r="J177" s="16" t="n">
        <f aca="false">IF(H177="",0,(RANK(H177,KFTer,0)))</f>
        <v>0</v>
      </c>
      <c r="K177" s="16" t="n">
        <f aca="false">I177-J177</f>
        <v>0</v>
      </c>
      <c r="L177" s="16" t="n">
        <f aca="false">K177^2</f>
        <v>0</v>
      </c>
      <c r="P177" s="50"/>
      <c r="Q177" s="0" t="s">
        <v>34</v>
      </c>
      <c r="R177" s="51" t="n">
        <f aca="false">$W176*R$197/$H$200</f>
        <v>0</v>
      </c>
      <c r="S177" s="51" t="n">
        <f aca="false">$W176*S$197/$H$200</f>
        <v>0</v>
      </c>
      <c r="T177" s="51" t="n">
        <f aca="false">$W176*T$197/$H$200</f>
        <v>0</v>
      </c>
      <c r="U177" s="51" t="n">
        <f aca="false">$W176*U$197/$H$200</f>
        <v>0</v>
      </c>
      <c r="V177" s="51" t="n">
        <f aca="false">$W176*V$197/$H$200</f>
        <v>0</v>
      </c>
      <c r="W177" s="41"/>
    </row>
    <row collapsed="false" customFormat="false" customHeight="false" hidden="false" ht="14.7" outlineLevel="0" r="178">
      <c r="B178" s="42"/>
      <c r="C178" s="43"/>
      <c r="D178" s="62"/>
      <c r="E178" s="63"/>
      <c r="G178" s="20" t="n">
        <f aca="false">IF(OR(D178="",E178="",VALUE(D178)&gt;4,VALUE(E178)&gt;4),"",IF(VALUE(D178)&lt;=4,VALUE(D178),""))</f>
        <v>0</v>
      </c>
      <c r="H178" s="20" t="n">
        <f aca="false">IF(OR(D178="",E178="",VALUE(D178)&gt;4,VALUE(E178)&gt;4),"",IF(VALUE(E178)&lt;=4,VALUE(E178),""))</f>
        <v>0</v>
      </c>
      <c r="I178" s="16" t="n">
        <f aca="false">IF(G178="",0,(RANK(G178,KFPat,0)))</f>
        <v>0</v>
      </c>
      <c r="J178" s="16" t="n">
        <f aca="false">IF(H178="",0,(RANK(H178,KFTer,0)))</f>
        <v>0</v>
      </c>
      <c r="K178" s="16" t="n">
        <f aca="false">I178-J178</f>
        <v>0</v>
      </c>
      <c r="L178" s="16" t="n">
        <f aca="false">K178^2</f>
        <v>0</v>
      </c>
      <c r="P178" s="50"/>
      <c r="Q178" s="0" t="s">
        <v>36</v>
      </c>
      <c r="R178" s="51" t="n">
        <f aca="false">Z166</f>
        <v>0.5</v>
      </c>
      <c r="S178" s="0" t="n">
        <v>0.25</v>
      </c>
      <c r="T178" s="51" t="n">
        <f aca="false">Z164</f>
        <v>0</v>
      </c>
      <c r="U178" s="0" t="n">
        <v>0.25</v>
      </c>
      <c r="V178" s="51" t="n">
        <f aca="false">Z166</f>
        <v>0.5</v>
      </c>
      <c r="W178" s="41"/>
      <c r="Y178" s="0" t="s">
        <v>54</v>
      </c>
      <c r="Z178" s="56" t="e">
        <f aca="false">Z172/Z176</f>
        <v>#VALUE!</v>
      </c>
      <c r="AB178" s="55" t="s">
        <v>55</v>
      </c>
    </row>
    <row collapsed="false" customFormat="false" customHeight="true" hidden="false" ht="12.25" outlineLevel="0" r="179">
      <c r="B179" s="42"/>
      <c r="C179" s="43"/>
      <c r="D179" s="62"/>
      <c r="E179" s="63"/>
      <c r="G179" s="20" t="n">
        <f aca="false">IF(OR(D179="",E179="",VALUE(D179)&gt;4,VALUE(E179)&gt;4),"",IF(VALUE(D179)&lt;=4,VALUE(D179),""))</f>
        <v>0</v>
      </c>
      <c r="H179" s="20" t="n">
        <f aca="false">IF(OR(D179="",E179="",VALUE(D179)&gt;4,VALUE(E179)&gt;4),"",IF(VALUE(E179)&lt;=4,VALUE(E179),""))</f>
        <v>0</v>
      </c>
      <c r="I179" s="16" t="n">
        <f aca="false">IF(G179="",0,(RANK(G179,KFPat,0)))</f>
        <v>0</v>
      </c>
      <c r="J179" s="16" t="n">
        <f aca="false">IF(H179="",0,(RANK(H179,KFTer,0)))</f>
        <v>0</v>
      </c>
      <c r="K179" s="16" t="n">
        <f aca="false">I179-J179</f>
        <v>0</v>
      </c>
      <c r="L179" s="16" t="n">
        <f aca="false">K179^2</f>
        <v>0</v>
      </c>
      <c r="P179" s="50"/>
      <c r="Q179" s="0" t="s">
        <v>38</v>
      </c>
      <c r="R179" s="51" t="n">
        <f aca="false">R176*R178</f>
        <v>0</v>
      </c>
      <c r="S179" s="51" t="n">
        <f aca="false">S176*S178</f>
        <v>0</v>
      </c>
      <c r="T179" s="51" t="n">
        <f aca="false">T176*T178</f>
        <v>0</v>
      </c>
      <c r="U179" s="51" t="n">
        <f aca="false">U176*U178</f>
        <v>0</v>
      </c>
      <c r="V179" s="51" t="n">
        <f aca="false">V176*V178</f>
        <v>0</v>
      </c>
      <c r="W179" s="41" t="n">
        <f aca="false">SUM(R179:V179)</f>
        <v>0</v>
      </c>
      <c r="Z179" s="60"/>
      <c r="AB179" s="61"/>
      <c r="AC179" s="61"/>
    </row>
    <row collapsed="false" customFormat="false" customHeight="true" hidden="false" ht="12.25" outlineLevel="0" r="180">
      <c r="B180" s="42"/>
      <c r="C180" s="43"/>
      <c r="D180" s="62"/>
      <c r="E180" s="63"/>
      <c r="G180" s="20" t="n">
        <f aca="false">IF(OR(D180="",E180="",VALUE(D180)&gt;4,VALUE(E180)&gt;4),"",IF(VALUE(D180)&lt;=4,VALUE(D180),""))</f>
        <v>0</v>
      </c>
      <c r="H180" s="20" t="n">
        <f aca="false">IF(OR(D180="",E180="",VALUE(D180)&gt;4,VALUE(E180)&gt;4),"",IF(VALUE(E180)&lt;=4,VALUE(E180),""))</f>
        <v>0</v>
      </c>
      <c r="I180" s="16" t="n">
        <f aca="false">IF(G180="",0,(RANK(G180,KFPat,0)))</f>
        <v>0</v>
      </c>
      <c r="J180" s="16" t="n">
        <f aca="false">IF(H180="",0,(RANK(H180,KFTer,0)))</f>
        <v>0</v>
      </c>
      <c r="K180" s="16" t="n">
        <f aca="false">I180-J180</f>
        <v>0</v>
      </c>
      <c r="L180" s="16" t="n">
        <f aca="false">K180^2</f>
        <v>0</v>
      </c>
      <c r="P180" s="50"/>
      <c r="Q180" s="0" t="s">
        <v>40</v>
      </c>
      <c r="R180" s="51" t="n">
        <f aca="false">R178*R177</f>
        <v>0</v>
      </c>
      <c r="S180" s="51" t="n">
        <f aca="false">S178*S177</f>
        <v>0</v>
      </c>
      <c r="T180" s="51" t="n">
        <f aca="false">T178*T177</f>
        <v>0</v>
      </c>
      <c r="U180" s="51" t="n">
        <f aca="false">U178*U177</f>
        <v>0</v>
      </c>
      <c r="V180" s="51" t="n">
        <f aca="false">V178*V177</f>
        <v>0</v>
      </c>
      <c r="W180" s="41" t="n">
        <f aca="false">SUM(R180:V180)</f>
        <v>0</v>
      </c>
      <c r="Y180" s="0" t="e">
        <f aca="false">NORMSDIST(Z178)</f>
        <v>#VALUE!</v>
      </c>
      <c r="AA180" s="64"/>
    </row>
    <row collapsed="false" customFormat="false" customHeight="true" hidden="false" ht="12.25" outlineLevel="0" r="181">
      <c r="B181" s="42"/>
      <c r="C181" s="43"/>
      <c r="D181" s="62"/>
      <c r="E181" s="63"/>
      <c r="G181" s="20" t="n">
        <f aca="false">IF(OR(D181="",E181="",VALUE(D181)&gt;4,VALUE(E181)&gt;4),"",IF(VALUE(D181)&lt;=4,VALUE(D181),""))</f>
        <v>0</v>
      </c>
      <c r="H181" s="20" t="n">
        <f aca="false">IF(OR(D181="",E181="",VALUE(D181)&gt;4,VALUE(E181)&gt;4),"",IF(VALUE(E181)&lt;=4,VALUE(E181),""))</f>
        <v>0</v>
      </c>
      <c r="I181" s="16" t="n">
        <f aca="false">IF(G181="",0,(RANK(G181,KFPat,0)))</f>
        <v>0</v>
      </c>
      <c r="J181" s="16" t="n">
        <f aca="false">IF(H181="",0,(RANK(H181,KFTer,0)))</f>
        <v>0</v>
      </c>
      <c r="K181" s="16" t="n">
        <f aca="false">I181-J181</f>
        <v>0</v>
      </c>
      <c r="L181" s="16" t="n">
        <f aca="false">K181^2</f>
        <v>0</v>
      </c>
      <c r="P181" s="50"/>
      <c r="Q181" s="0" t="s">
        <v>42</v>
      </c>
      <c r="R181" s="51" t="n">
        <f aca="false">R178^2</f>
        <v>0.25</v>
      </c>
      <c r="S181" s="51" t="n">
        <f aca="false">S178^2</f>
        <v>0.0625</v>
      </c>
      <c r="T181" s="51" t="n">
        <f aca="false">T178^2</f>
        <v>0</v>
      </c>
      <c r="U181" s="51" t="n">
        <f aca="false">U178^2</f>
        <v>0.0625</v>
      </c>
      <c r="V181" s="51" t="n">
        <f aca="false">V178^2</f>
        <v>0.25</v>
      </c>
      <c r="W181" s="41"/>
      <c r="Y181" s="0" t="e">
        <f aca="false">CHIDIST(Z178,W197-2)</f>
        <v>#VALUE!</v>
      </c>
    </row>
    <row collapsed="false" customFormat="false" customHeight="true" hidden="false" ht="12.25" outlineLevel="0" r="182">
      <c r="B182" s="42"/>
      <c r="C182" s="43"/>
      <c r="D182" s="62"/>
      <c r="E182" s="63"/>
      <c r="G182" s="20" t="n">
        <f aca="false">IF(OR(D182="",E182="",VALUE(D182)&gt;4,VALUE(E182)&gt;4),"",IF(VALUE(D182)&lt;=4,VALUE(D182),""))</f>
        <v>0</v>
      </c>
      <c r="H182" s="20" t="n">
        <f aca="false">IF(OR(D182="",E182="",VALUE(D182)&gt;4,VALUE(E182)&gt;4),"",IF(VALUE(E182)&lt;=4,VALUE(E182),""))</f>
        <v>0</v>
      </c>
      <c r="I182" s="16" t="n">
        <f aca="false">IF(G182="",0,(RANK(G182,KFPat,0)))</f>
        <v>0</v>
      </c>
      <c r="J182" s="16" t="n">
        <f aca="false">IF(H182="",0,(RANK(H182,KFTer,0)))</f>
        <v>0</v>
      </c>
      <c r="K182" s="16" t="n">
        <f aca="false">I182-J182</f>
        <v>0</v>
      </c>
      <c r="L182" s="16" t="n">
        <f aca="false">K182^2</f>
        <v>0</v>
      </c>
      <c r="P182" s="53"/>
      <c r="Q182" s="0" t="s">
        <v>44</v>
      </c>
      <c r="R182" s="51" t="n">
        <f aca="false">R181*R177</f>
        <v>0</v>
      </c>
      <c r="S182" s="51" t="n">
        <f aca="false">S181*S177</f>
        <v>0</v>
      </c>
      <c r="T182" s="51" t="n">
        <f aca="false">T181*T177</f>
        <v>0</v>
      </c>
      <c r="U182" s="51" t="n">
        <f aca="false">U181*U177</f>
        <v>0</v>
      </c>
      <c r="V182" s="51" t="n">
        <f aca="false">V181*V177</f>
        <v>0</v>
      </c>
      <c r="W182" s="41" t="n">
        <f aca="false">SUM(R182:V182)</f>
        <v>0</v>
      </c>
    </row>
    <row collapsed="false" customFormat="false" customHeight="true" hidden="false" ht="12.25" outlineLevel="0" r="183">
      <c r="B183" s="42"/>
      <c r="C183" s="43"/>
      <c r="D183" s="62"/>
      <c r="E183" s="63"/>
      <c r="G183" s="20" t="n">
        <f aca="false">IF(OR(D183="",E183="",VALUE(D183)&gt;4,VALUE(E183)&gt;4),"",IF(VALUE(D183)&lt;=4,VALUE(D183),""))</f>
        <v>0</v>
      </c>
      <c r="H183" s="20" t="n">
        <f aca="false">IF(OR(D183="",E183="",VALUE(D183)&gt;4,VALUE(E183)&gt;4),"",IF(VALUE(E183)&lt;=4,VALUE(E183),""))</f>
        <v>0</v>
      </c>
      <c r="I183" s="16" t="n">
        <f aca="false">IF(G183="",0,(RANK(G183,KFPat,0)))</f>
        <v>0</v>
      </c>
      <c r="J183" s="16" t="n">
        <f aca="false">IF(H183="",0,(RANK(H183,KFTer,0)))</f>
        <v>0</v>
      </c>
      <c r="K183" s="16" t="n">
        <f aca="false">I183-J183</f>
        <v>0</v>
      </c>
      <c r="L183" s="16" t="n">
        <f aca="false">K183^2</f>
        <v>0</v>
      </c>
      <c r="P183" s="46" t="n">
        <v>3</v>
      </c>
      <c r="Q183" s="47" t="s">
        <v>32</v>
      </c>
      <c r="R183" s="48" t="n">
        <f aca="false">COUNTIFS(ATPat,"3",ATTer,"0")</f>
        <v>0</v>
      </c>
      <c r="S183" s="48" t="n">
        <f aca="false">COUNTIFS(ATPat,"3",ATTer,"1")</f>
        <v>0</v>
      </c>
      <c r="T183" s="48" t="n">
        <f aca="false">COUNTIFS(ATPat,"3",ATTer,"2")</f>
        <v>0</v>
      </c>
      <c r="U183" s="48" t="n">
        <f aca="false">COUNTIFS(ATPat,"3",ATTer,"3")</f>
        <v>0</v>
      </c>
      <c r="V183" s="48" t="n">
        <f aca="false">COUNTIFS(ATPat,"3",ATTer,"4")</f>
        <v>0</v>
      </c>
      <c r="W183" s="47" t="n">
        <f aca="false">SUM(R183:V183)</f>
        <v>0</v>
      </c>
    </row>
    <row collapsed="false" customFormat="false" customHeight="true" hidden="false" ht="12.25" outlineLevel="0" r="184">
      <c r="B184" s="42"/>
      <c r="C184" s="43"/>
      <c r="D184" s="62"/>
      <c r="E184" s="63"/>
      <c r="G184" s="20" t="n">
        <f aca="false">IF(OR(D184="",E184="",VALUE(D184)&gt;4,VALUE(E184)&gt;4),"",IF(VALUE(D184)&lt;=4,VALUE(D184),""))</f>
        <v>0</v>
      </c>
      <c r="H184" s="20" t="n">
        <f aca="false">IF(OR(D184="",E184="",VALUE(D184)&gt;4,VALUE(E184)&gt;4),"",IF(VALUE(E184)&lt;=4,VALUE(E184),""))</f>
        <v>0</v>
      </c>
      <c r="I184" s="16" t="n">
        <f aca="false">IF(G184="",0,(RANK(G184,KFPat,0)))</f>
        <v>0</v>
      </c>
      <c r="J184" s="16" t="n">
        <f aca="false">IF(H184="",0,(RANK(H184,KFTer,0)))</f>
        <v>0</v>
      </c>
      <c r="K184" s="16" t="n">
        <f aca="false">I184-J184</f>
        <v>0</v>
      </c>
      <c r="L184" s="16" t="n">
        <f aca="false">K184^2</f>
        <v>0</v>
      </c>
      <c r="P184" s="50"/>
      <c r="Q184" s="0" t="s">
        <v>34</v>
      </c>
      <c r="R184" s="51" t="n">
        <f aca="false">$W183*R$197/$H$200</f>
        <v>0</v>
      </c>
      <c r="S184" s="51" t="n">
        <f aca="false">$W183*S$197/$H$200</f>
        <v>0</v>
      </c>
      <c r="T184" s="51" t="n">
        <f aca="false">$W183*T$197/$H$200</f>
        <v>0</v>
      </c>
      <c r="U184" s="51" t="n">
        <f aca="false">$W183*U$197/$H$200</f>
        <v>0</v>
      </c>
      <c r="V184" s="51" t="n">
        <f aca="false">$W183*V$197/$H$200</f>
        <v>0</v>
      </c>
      <c r="W184" s="41"/>
    </row>
    <row collapsed="false" customFormat="false" customHeight="true" hidden="false" ht="12.25" outlineLevel="0" r="185">
      <c r="B185" s="42"/>
      <c r="C185" s="43"/>
      <c r="D185" s="62"/>
      <c r="E185" s="63"/>
      <c r="G185" s="20" t="n">
        <f aca="false">IF(OR(D185="",E185="",VALUE(D185)&gt;4,VALUE(E185)&gt;4),"",IF(VALUE(D185)&lt;=4,VALUE(D185),""))</f>
        <v>0</v>
      </c>
      <c r="H185" s="20" t="n">
        <f aca="false">IF(OR(D185="",E185="",VALUE(D185)&gt;4,VALUE(E185)&gt;4),"",IF(VALUE(E185)&lt;=4,VALUE(E185),""))</f>
        <v>0</v>
      </c>
      <c r="I185" s="16" t="n">
        <f aca="false">IF(G185="",0,(RANK(G185,KFPat,0)))</f>
        <v>0</v>
      </c>
      <c r="J185" s="16" t="n">
        <f aca="false">IF(H185="",0,(RANK(H185,KFTer,0)))</f>
        <v>0</v>
      </c>
      <c r="K185" s="16" t="n">
        <f aca="false">I185-J185</f>
        <v>0</v>
      </c>
      <c r="L185" s="16" t="n">
        <f aca="false">K185^2</f>
        <v>0</v>
      </c>
      <c r="P185" s="50"/>
      <c r="Q185" s="0" t="s">
        <v>36</v>
      </c>
      <c r="R185" s="51" t="n">
        <f aca="false">Z167</f>
        <v>0.75</v>
      </c>
      <c r="S185" s="51" t="n">
        <f aca="false">Z166</f>
        <v>0.5</v>
      </c>
      <c r="T185" s="0" t="n">
        <v>0.25</v>
      </c>
      <c r="U185" s="51" t="n">
        <f aca="false">Z164</f>
        <v>0</v>
      </c>
      <c r="V185" s="0" t="n">
        <v>0.25</v>
      </c>
      <c r="W185" s="41"/>
    </row>
    <row collapsed="false" customFormat="false" customHeight="true" hidden="false" ht="12.25" outlineLevel="0" r="186">
      <c r="B186" s="42"/>
      <c r="C186" s="43"/>
      <c r="D186" s="62"/>
      <c r="E186" s="63"/>
      <c r="G186" s="20" t="n">
        <f aca="false">IF(OR(D186="",E186="",VALUE(D186)&gt;4,VALUE(E186)&gt;4),"",IF(VALUE(D186)&lt;=4,VALUE(D186),""))</f>
        <v>0</v>
      </c>
      <c r="H186" s="20" t="n">
        <f aca="false">IF(OR(D186="",E186="",VALUE(D186)&gt;4,VALUE(E186)&gt;4),"",IF(VALUE(E186)&lt;=4,VALUE(E186),""))</f>
        <v>0</v>
      </c>
      <c r="I186" s="16" t="n">
        <f aca="false">IF(G186="",0,(RANK(G186,KFPat,0)))</f>
        <v>0</v>
      </c>
      <c r="J186" s="16" t="n">
        <f aca="false">IF(H186="",0,(RANK(H186,KFTer,0)))</f>
        <v>0</v>
      </c>
      <c r="K186" s="16" t="n">
        <f aca="false">I186-J186</f>
        <v>0</v>
      </c>
      <c r="L186" s="16" t="n">
        <f aca="false">K186^2</f>
        <v>0</v>
      </c>
      <c r="P186" s="50"/>
      <c r="Q186" s="0" t="s">
        <v>38</v>
      </c>
      <c r="R186" s="51" t="n">
        <f aca="false">R183*R185</f>
        <v>0</v>
      </c>
      <c r="S186" s="51" t="n">
        <f aca="false">S183*S185</f>
        <v>0</v>
      </c>
      <c r="T186" s="51" t="n">
        <f aca="false">T183*T185</f>
        <v>0</v>
      </c>
      <c r="U186" s="51" t="n">
        <f aca="false">U183*U185</f>
        <v>0</v>
      </c>
      <c r="V186" s="51" t="n">
        <f aca="false">V183*V185</f>
        <v>0</v>
      </c>
      <c r="W186" s="41" t="n">
        <f aca="false">SUM(R186:V186)</f>
        <v>0</v>
      </c>
    </row>
    <row collapsed="false" customFormat="false" customHeight="true" hidden="false" ht="12.25" outlineLevel="0" r="187">
      <c r="B187" s="42"/>
      <c r="C187" s="43"/>
      <c r="D187" s="62"/>
      <c r="E187" s="63"/>
      <c r="G187" s="20" t="n">
        <f aca="false">IF(OR(D187="",E187="",VALUE(D187)&gt;4,VALUE(E187)&gt;4),"",IF(VALUE(D187)&lt;=4,VALUE(D187),""))</f>
        <v>0</v>
      </c>
      <c r="H187" s="20" t="n">
        <f aca="false">IF(OR(D187="",E187="",VALUE(D187)&gt;4,VALUE(E187)&gt;4),"",IF(VALUE(E187)&lt;=4,VALUE(E187),""))</f>
        <v>0</v>
      </c>
      <c r="I187" s="16" t="n">
        <f aca="false">IF(G187="",0,(RANK(G187,KFPat,0)))</f>
        <v>0</v>
      </c>
      <c r="J187" s="16" t="n">
        <f aca="false">IF(H187="",0,(RANK(H187,KFTer,0)))</f>
        <v>0</v>
      </c>
      <c r="K187" s="16" t="n">
        <f aca="false">I187-J187</f>
        <v>0</v>
      </c>
      <c r="L187" s="16" t="n">
        <f aca="false">K187^2</f>
        <v>0</v>
      </c>
      <c r="P187" s="50"/>
      <c r="Q187" s="0" t="s">
        <v>40</v>
      </c>
      <c r="R187" s="51" t="n">
        <f aca="false">R185*R184</f>
        <v>0</v>
      </c>
      <c r="S187" s="51" t="n">
        <f aca="false">S185*S184</f>
        <v>0</v>
      </c>
      <c r="T187" s="51" t="n">
        <f aca="false">T185*T184</f>
        <v>0</v>
      </c>
      <c r="U187" s="51" t="n">
        <f aca="false">U185*U184</f>
        <v>0</v>
      </c>
      <c r="V187" s="51" t="n">
        <f aca="false">V185*V184</f>
        <v>0</v>
      </c>
      <c r="W187" s="41" t="n">
        <f aca="false">SUM(R187:V187)</f>
        <v>0</v>
      </c>
    </row>
    <row collapsed="false" customFormat="false" customHeight="true" hidden="false" ht="12.25" outlineLevel="0" r="188">
      <c r="B188" s="42"/>
      <c r="C188" s="43"/>
      <c r="D188" s="62"/>
      <c r="E188" s="63"/>
      <c r="G188" s="20" t="n">
        <f aca="false">IF(OR(D188="",E188="",VALUE(D188)&gt;4,VALUE(E188)&gt;4),"",IF(VALUE(D188)&lt;=4,VALUE(D188),""))</f>
        <v>0</v>
      </c>
      <c r="H188" s="20" t="n">
        <f aca="false">IF(OR(D188="",E188="",VALUE(D188)&gt;4,VALUE(E188)&gt;4),"",IF(VALUE(E188)&lt;=4,VALUE(E188),""))</f>
        <v>0</v>
      </c>
      <c r="I188" s="16" t="n">
        <f aca="false">IF(G188="",0,(RANK(G188,KFPat,0)))</f>
        <v>0</v>
      </c>
      <c r="J188" s="16" t="n">
        <f aca="false">IF(H188="",0,(RANK(H188,KFTer,0)))</f>
        <v>0</v>
      </c>
      <c r="K188" s="16" t="n">
        <f aca="false">I188-J188</f>
        <v>0</v>
      </c>
      <c r="L188" s="16" t="n">
        <f aca="false">K188^2</f>
        <v>0</v>
      </c>
      <c r="P188" s="50"/>
      <c r="Q188" s="0" t="s">
        <v>42</v>
      </c>
      <c r="R188" s="51" t="n">
        <f aca="false">R185^2</f>
        <v>0.5625</v>
      </c>
      <c r="S188" s="51" t="n">
        <f aca="false">S185^2</f>
        <v>0.25</v>
      </c>
      <c r="T188" s="51" t="n">
        <f aca="false">T185^2</f>
        <v>0.0625</v>
      </c>
      <c r="U188" s="51" t="n">
        <f aca="false">U185^2</f>
        <v>0</v>
      </c>
      <c r="V188" s="51" t="n">
        <f aca="false">V185^2</f>
        <v>0.0625</v>
      </c>
      <c r="W188" s="41"/>
    </row>
    <row collapsed="false" customFormat="false" customHeight="true" hidden="false" ht="12.25" outlineLevel="0" r="189">
      <c r="B189" s="42"/>
      <c r="C189" s="43"/>
      <c r="D189" s="62"/>
      <c r="E189" s="63"/>
      <c r="G189" s="20" t="n">
        <f aca="false">IF(OR(D189="",E189="",VALUE(D189)&gt;4,VALUE(E189)&gt;4),"",IF(VALUE(D189)&lt;=4,VALUE(D189),""))</f>
        <v>0</v>
      </c>
      <c r="H189" s="20" t="n">
        <f aca="false">IF(OR(D189="",E189="",VALUE(D189)&gt;4,VALUE(E189)&gt;4),"",IF(VALUE(E189)&lt;=4,VALUE(E189),""))</f>
        <v>0</v>
      </c>
      <c r="I189" s="16" t="n">
        <f aca="false">IF(G189="",0,(RANK(G189,KFPat,0)))</f>
        <v>0</v>
      </c>
      <c r="J189" s="16" t="n">
        <f aca="false">IF(H189="",0,(RANK(H189,KFTer,0)))</f>
        <v>0</v>
      </c>
      <c r="K189" s="16" t="n">
        <f aca="false">I189-J189</f>
        <v>0</v>
      </c>
      <c r="L189" s="16" t="n">
        <f aca="false">K189^2</f>
        <v>0</v>
      </c>
      <c r="P189" s="53"/>
      <c r="Q189" s="0" t="s">
        <v>44</v>
      </c>
      <c r="R189" s="51" t="n">
        <f aca="false">R188*R184</f>
        <v>0</v>
      </c>
      <c r="S189" s="51" t="n">
        <f aca="false">S188*S184</f>
        <v>0</v>
      </c>
      <c r="T189" s="51" t="n">
        <f aca="false">T188*T184</f>
        <v>0</v>
      </c>
      <c r="U189" s="51" t="n">
        <f aca="false">U188*U184</f>
        <v>0</v>
      </c>
      <c r="V189" s="51" t="n">
        <f aca="false">V188*V184</f>
        <v>0</v>
      </c>
      <c r="W189" s="41" t="n">
        <f aca="false">SUM(R189:V189)</f>
        <v>0</v>
      </c>
    </row>
    <row collapsed="false" customFormat="false" customHeight="true" hidden="false" ht="12.25" outlineLevel="0" r="190">
      <c r="B190" s="42"/>
      <c r="C190" s="43"/>
      <c r="D190" s="62"/>
      <c r="E190" s="63"/>
      <c r="G190" s="20" t="n">
        <f aca="false">IF(OR(D190="",E190="",VALUE(D190)&gt;4,VALUE(E190)&gt;4),"",IF(VALUE(D190)&lt;=4,VALUE(D190),""))</f>
        <v>0</v>
      </c>
      <c r="H190" s="20" t="n">
        <f aca="false">IF(OR(D190="",E190="",VALUE(D190)&gt;4,VALUE(E190)&gt;4),"",IF(VALUE(E190)&lt;=4,VALUE(E190),""))</f>
        <v>0</v>
      </c>
      <c r="I190" s="16" t="n">
        <f aca="false">IF(G190="",0,(RANK(G190,KFPat,0)))</f>
        <v>0</v>
      </c>
      <c r="J190" s="16" t="n">
        <f aca="false">IF(H190="",0,(RANK(H190,KFTer,0)))</f>
        <v>0</v>
      </c>
      <c r="K190" s="16" t="n">
        <f aca="false">I190-J190</f>
        <v>0</v>
      </c>
      <c r="L190" s="16" t="n">
        <f aca="false">K190^2</f>
        <v>0</v>
      </c>
      <c r="P190" s="46" t="n">
        <v>4</v>
      </c>
      <c r="Q190" s="47" t="s">
        <v>32</v>
      </c>
      <c r="R190" s="48" t="n">
        <f aca="false">COUNTIFS(ATPat,"4",ATTer,"0")</f>
        <v>0</v>
      </c>
      <c r="S190" s="48" t="n">
        <f aca="false">COUNTIFS(ATPat,"4",ATTer,"1")</f>
        <v>0</v>
      </c>
      <c r="T190" s="48" t="n">
        <f aca="false">COUNTIFS(ATPat,"4",ATTer,"3")</f>
        <v>2</v>
      </c>
      <c r="U190" s="48" t="n">
        <f aca="false">COUNTIFS(ATPat,"4",ATTer,"3")</f>
        <v>2</v>
      </c>
      <c r="V190" s="48" t="n">
        <f aca="false">COUNTIFS(ATPat,"4",ATTer,"4")</f>
        <v>0</v>
      </c>
      <c r="W190" s="47" t="n">
        <f aca="false">SUM(R190:V190)</f>
        <v>4</v>
      </c>
    </row>
    <row collapsed="false" customFormat="false" customHeight="true" hidden="false" ht="12.25" outlineLevel="0" r="191">
      <c r="B191" s="42"/>
      <c r="C191" s="43"/>
      <c r="D191" s="62"/>
      <c r="E191" s="63"/>
      <c r="G191" s="20" t="n">
        <f aca="false">IF(OR(D191="",E191="",VALUE(D191)&gt;4,VALUE(E191)&gt;4),"",IF(VALUE(D191)&lt;=4,VALUE(D191),""))</f>
        <v>0</v>
      </c>
      <c r="H191" s="20" t="n">
        <f aca="false">IF(OR(D191="",E191="",VALUE(D191)&gt;4,VALUE(E191)&gt;4),"",IF(VALUE(E191)&lt;=4,VALUE(E191),""))</f>
        <v>0</v>
      </c>
      <c r="I191" s="16" t="n">
        <f aca="false">IF(G191="",0,(RANK(G191,KFPat,0)))</f>
        <v>0</v>
      </c>
      <c r="J191" s="16" t="n">
        <f aca="false">IF(H191="",0,(RANK(H191,KFTer,0)))</f>
        <v>0</v>
      </c>
      <c r="K191" s="16" t="n">
        <f aca="false">I191-J191</f>
        <v>0</v>
      </c>
      <c r="L191" s="16" t="n">
        <f aca="false">K191^2</f>
        <v>0</v>
      </c>
      <c r="P191" s="69"/>
      <c r="Q191" s="0" t="s">
        <v>34</v>
      </c>
      <c r="R191" s="51" t="n">
        <f aca="false">$W190*R$197/$H$200</f>
        <v>0</v>
      </c>
      <c r="S191" s="51" t="n">
        <f aca="false">$W190*S$197/$H$200</f>
        <v>0</v>
      </c>
      <c r="T191" s="51" t="n">
        <f aca="false">$W190*T$197/$H$200</f>
        <v>2.66666666666667</v>
      </c>
      <c r="U191" s="51" t="n">
        <f aca="false">$W190*U$197/$H$200</f>
        <v>2.66666666666667</v>
      </c>
      <c r="V191" s="51" t="n">
        <f aca="false">$W190*V$197/$H$200</f>
        <v>0</v>
      </c>
      <c r="W191" s="41"/>
    </row>
    <row collapsed="false" customFormat="false" customHeight="true" hidden="false" ht="12.25" outlineLevel="0" r="192">
      <c r="P192" s="69"/>
      <c r="Q192" s="0" t="s">
        <v>36</v>
      </c>
      <c r="R192" s="51" t="n">
        <f aca="false">Z168</f>
        <v>1</v>
      </c>
      <c r="S192" s="51" t="n">
        <f aca="false">Z167</f>
        <v>0.75</v>
      </c>
      <c r="T192" s="51" t="n">
        <f aca="false">Z166</f>
        <v>0.5</v>
      </c>
      <c r="U192" s="0" t="n">
        <v>0.25</v>
      </c>
      <c r="V192" s="51" t="n">
        <f aca="false">Z164</f>
        <v>0</v>
      </c>
      <c r="W192" s="41"/>
    </row>
    <row collapsed="false" customFormat="false" customHeight="true" hidden="false" ht="12.25" outlineLevel="0" r="193">
      <c r="P193" s="69"/>
      <c r="Q193" s="0" t="s">
        <v>38</v>
      </c>
      <c r="R193" s="51" t="n">
        <f aca="false">R190*R192</f>
        <v>0</v>
      </c>
      <c r="S193" s="51" t="n">
        <f aca="false">S190*S192</f>
        <v>0</v>
      </c>
      <c r="T193" s="51" t="n">
        <f aca="false">T190*T192</f>
        <v>1</v>
      </c>
      <c r="U193" s="51" t="n">
        <f aca="false">U190*U192</f>
        <v>0.5</v>
      </c>
      <c r="V193" s="51" t="n">
        <f aca="false">V190*V192</f>
        <v>0</v>
      </c>
      <c r="W193" s="41" t="n">
        <f aca="false">SUM(R193:V193)</f>
        <v>1.5</v>
      </c>
    </row>
    <row collapsed="false" customFormat="false" customHeight="true" hidden="false" ht="12.25" outlineLevel="0" r="194">
      <c r="P194" s="69"/>
      <c r="Q194" s="0" t="s">
        <v>40</v>
      </c>
      <c r="R194" s="51" t="n">
        <f aca="false">R192*R191</f>
        <v>0</v>
      </c>
      <c r="S194" s="51" t="n">
        <f aca="false">S192*S191</f>
        <v>0</v>
      </c>
      <c r="T194" s="51" t="n">
        <f aca="false">T192*T191</f>
        <v>1.33333333333333</v>
      </c>
      <c r="U194" s="51" t="n">
        <f aca="false">U192*U191</f>
        <v>0.666666666666667</v>
      </c>
      <c r="V194" s="51" t="n">
        <f aca="false">V192*V191</f>
        <v>0</v>
      </c>
      <c r="W194" s="41" t="n">
        <f aca="false">SUM(R194:V194)</f>
        <v>2</v>
      </c>
    </row>
    <row collapsed="false" customFormat="false" customHeight="true" hidden="false" ht="12.25" outlineLevel="0" r="195">
      <c r="P195" s="69"/>
      <c r="Q195" s="0" t="s">
        <v>42</v>
      </c>
      <c r="R195" s="51" t="n">
        <f aca="false">R192^2</f>
        <v>1</v>
      </c>
      <c r="S195" s="51" t="n">
        <f aca="false">S192^2</f>
        <v>0.5625</v>
      </c>
      <c r="T195" s="51" t="n">
        <f aca="false">T192^2</f>
        <v>0.25</v>
      </c>
      <c r="U195" s="51" t="n">
        <f aca="false">U192^2</f>
        <v>0.0625</v>
      </c>
      <c r="V195" s="51" t="n">
        <f aca="false">V192^2</f>
        <v>0</v>
      </c>
      <c r="W195" s="41"/>
    </row>
    <row collapsed="false" customFormat="false" customHeight="true" hidden="false" ht="12.25" outlineLevel="0" r="196">
      <c r="P196" s="79"/>
      <c r="Q196" s="0" t="s">
        <v>44</v>
      </c>
      <c r="R196" s="51" t="n">
        <f aca="false">R195*R191</f>
        <v>0</v>
      </c>
      <c r="S196" s="51" t="n">
        <f aca="false">S195*S191</f>
        <v>0</v>
      </c>
      <c r="T196" s="51" t="n">
        <f aca="false">T195*T191</f>
        <v>0.666666666666667</v>
      </c>
      <c r="U196" s="51" t="n">
        <f aca="false">U195*U191</f>
        <v>0.166666666666667</v>
      </c>
      <c r="V196" s="51" t="n">
        <f aca="false">V195*V191</f>
        <v>0</v>
      </c>
      <c r="W196" s="41" t="n">
        <f aca="false">SUM(R196:V196)</f>
        <v>0.833333333333333</v>
      </c>
    </row>
    <row collapsed="false" customFormat="false" customHeight="true" hidden="false" ht="12.25" outlineLevel="0" r="197">
      <c r="P197" s="47" t="s">
        <v>59</v>
      </c>
      <c r="Q197" s="47"/>
      <c r="R197" s="47" t="n">
        <f aca="false">SUM(R190,R183,R176,R169,R162)</f>
        <v>0</v>
      </c>
      <c r="S197" s="47" t="n">
        <f aca="false">SUM(S190,S183,S176,S169,S162)</f>
        <v>0</v>
      </c>
      <c r="T197" s="47" t="n">
        <f aca="false">SUM(T190,T183,T176,T169,T162)</f>
        <v>2</v>
      </c>
      <c r="U197" s="47" t="n">
        <f aca="false">SUM(U190,U183,U176,U169,U162)</f>
        <v>2</v>
      </c>
      <c r="V197" s="47" t="n">
        <f aca="false">SUM(V190,V183,V176,V169,V162)</f>
        <v>0</v>
      </c>
      <c r="W197" s="47" t="n">
        <f aca="false">SUM(R197:V197)</f>
        <v>4</v>
      </c>
    </row>
    <row collapsed="false" customFormat="false" customHeight="true" hidden="false" ht="12.25" outlineLevel="0" r="198"/>
    <row collapsed="false" customFormat="false" customHeight="true" hidden="false" ht="12.25" outlineLevel="0" r="199"/>
    <row collapsed="false" customFormat="false" customHeight="true" hidden="false" ht="12.25" outlineLevel="0" r="200">
      <c r="C200" s="71"/>
      <c r="D200" s="72" t="n">
        <f aca="false">COUNT(D162:D198)</f>
        <v>4</v>
      </c>
      <c r="E200" s="84" t="n">
        <f aca="false">COUNTA(E162:E198)</f>
        <v>3</v>
      </c>
      <c r="F200" s="84"/>
      <c r="G200" s="84" t="n">
        <f aca="false">COUNT(G162:G198)</f>
        <v>3</v>
      </c>
      <c r="H200" s="84" t="n">
        <f aca="false">COUNT(H162:H198)</f>
        <v>3</v>
      </c>
      <c r="I200" s="84"/>
      <c r="J200" s="84"/>
      <c r="K200" s="84" t="n">
        <f aca="false">COUNTA(K162:K198)</f>
        <v>30</v>
      </c>
    </row>
    <row collapsed="false" customFormat="false" customHeight="true" hidden="false" ht="12.25" outlineLevel="0" r="201"/>
    <row collapsed="false" customFormat="false" customHeight="true" hidden="false" ht="12.25" outlineLevel="0" r="202">
      <c r="B202" s="88"/>
      <c r="C202" s="71"/>
      <c r="D202" s="83" t="s">
        <v>64</v>
      </c>
      <c r="E202" s="84"/>
      <c r="K202" s="6" t="s">
        <v>14</v>
      </c>
      <c r="L202" s="0" t="n">
        <f aca="false">SUM(L170:L198)</f>
        <v>0</v>
      </c>
    </row>
    <row collapsed="false" customFormat="false" customHeight="true" hidden="false" ht="12.25" outlineLevel="0" r="203"/>
    <row collapsed="false" customFormat="false" customHeight="true" hidden="false" ht="12.25" outlineLevel="0" r="204">
      <c r="K204" s="0" t="s">
        <v>65</v>
      </c>
      <c r="L204" s="89" t="n">
        <f aca="false">1-((6*L202)/(H200*((H200^2)-1)))</f>
        <v>1</v>
      </c>
    </row>
    <row collapsed="false" customFormat="false" customHeight="true" hidden="false" ht="12.25" outlineLevel="0" r="205"/>
    <row collapsed="false" customFormat="false" customHeight="true" hidden="false" ht="12.25" outlineLevel="0" r="206"/>
    <row collapsed="false" customFormat="false" customHeight="true" hidden="false" ht="12.25" outlineLevel="0" r="207"/>
    <row collapsed="false" customFormat="false" customHeight="true" hidden="false" ht="12.25" outlineLevel="0" r="208"/>
    <row collapsed="false" customFormat="false" customHeight="true" hidden="false" ht="12.25" outlineLevel="0" r="209"/>
    <row collapsed="false" customFormat="false" customHeight="true" hidden="false" ht="12.25" outlineLevel="0" r="210"/>
    <row collapsed="false" customFormat="false" customHeight="true" hidden="false" ht="12.25" outlineLevel="0" r="211"/>
    <row collapsed="false" customFormat="false" customHeight="true" hidden="false" ht="12.25" outlineLevel="0" r="212"/>
    <row collapsed="false" customFormat="false" customHeight="true" hidden="false" ht="12.25" outlineLevel="0" r="213"/>
    <row collapsed="false" customFormat="false" customHeight="true" hidden="false" ht="12.25" outlineLevel="0" r="214"/>
    <row collapsed="false" customFormat="false" customHeight="true" hidden="false" ht="12.25" outlineLevel="0" r="215"/>
    <row collapsed="false" customFormat="false" customHeight="true" hidden="false" ht="12.25" outlineLevel="0" r="216"/>
    <row collapsed="false" customFormat="false" customHeight="true" hidden="false" ht="12.25" outlineLevel="0" r="217"/>
    <row collapsed="false" customFormat="false" customHeight="true" hidden="false" ht="12.25" outlineLevel="0" r="218"/>
    <row collapsed="false" customFormat="false" customHeight="true" hidden="false" ht="12.25" outlineLevel="0" r="219"/>
    <row collapsed="false" customFormat="false" customHeight="true" hidden="false" ht="12.25" outlineLevel="0" r="220"/>
    <row collapsed="false" customFormat="false" customHeight="true" hidden="false" ht="12.25" outlineLevel="0" r="221">
      <c r="G221" s="0" t="s">
        <v>1</v>
      </c>
    </row>
    <row collapsed="false" customFormat="false" customHeight="true" hidden="false" ht="12.25" outlineLevel="0" r="222"/>
    <row collapsed="false" customFormat="false" customHeight="true" hidden="false" ht="12.25" outlineLevel="0" r="223">
      <c r="B223" s="7"/>
      <c r="C223" s="7"/>
      <c r="D223" s="37" t="s">
        <v>25</v>
      </c>
      <c r="E223" s="38" t="s">
        <v>24</v>
      </c>
      <c r="G223" s="37" t="s">
        <v>25</v>
      </c>
      <c r="H223" s="38" t="s">
        <v>24</v>
      </c>
      <c r="I223" s="6" t="s">
        <v>60</v>
      </c>
      <c r="J223" s="6" t="s">
        <v>61</v>
      </c>
      <c r="K223" s="6" t="s">
        <v>62</v>
      </c>
      <c r="L223" s="16" t="s">
        <v>29</v>
      </c>
    </row>
    <row collapsed="false" customFormat="false" customHeight="true" hidden="false" ht="12.25" outlineLevel="0" r="224">
      <c r="B224" s="7"/>
      <c r="C224" s="90"/>
      <c r="D224" s="16"/>
      <c r="E224" s="16"/>
      <c r="G224" s="20" t="n">
        <f aca="false">IF(OR(D224="",E224="",VALUE(D224)&gt;4,VALUE(E224)&gt;4),"",IF(VALUE(D224)&lt;=4,VALUE(D224),""))</f>
        <v>0</v>
      </c>
      <c r="H224" s="20" t="n">
        <f aca="false">IF(OR(D224="",E224="",VALUE(D224)&gt;4,VALUE(E224)&gt;4),"",IF(VALUE(E224)&lt;=4,VALUE(E224),""))</f>
        <v>0</v>
      </c>
      <c r="I224" s="0" t="n">
        <f aca="false">IF(G224="",0,(RANK(G224,UMPat,0)))</f>
        <v>0</v>
      </c>
      <c r="J224" s="16" t="n">
        <f aca="false">IF(H224="",0,(RANK(H224,UMTer,0)))</f>
        <v>0</v>
      </c>
      <c r="K224" s="16" t="n">
        <f aca="false">I224-J224</f>
        <v>0</v>
      </c>
      <c r="L224" s="16" t="n">
        <f aca="false">K224^2</f>
        <v>0</v>
      </c>
    </row>
    <row collapsed="false" customFormat="false" customHeight="true" hidden="false" ht="12.25" outlineLevel="0" r="225">
      <c r="B225" s="42"/>
      <c r="C225" s="43"/>
      <c r="D225" s="57"/>
      <c r="E225" s="58"/>
      <c r="G225" s="20" t="n">
        <f aca="false">IF(OR(D225="",E225="",VALUE(D225)&gt;4,VALUE(E225)&gt;4),"",IF(VALUE(D225)&lt;=4,VALUE(D225),""))</f>
        <v>0</v>
      </c>
      <c r="H225" s="20" t="n">
        <f aca="false">IF(OR(D225="",E225="",VALUE(D225)&gt;4,VALUE(E225)&gt;4),"",IF(VALUE(E225)&lt;=4,VALUE(E225),""))</f>
        <v>0</v>
      </c>
      <c r="I225" s="0" t="n">
        <f aca="false">IF(G225="",0,(RANK(G225,UMPat,0)))</f>
        <v>0</v>
      </c>
      <c r="J225" s="16" t="n">
        <f aca="false">IF(H225="",0,(RANK(H225,UMTer,0)))</f>
        <v>0</v>
      </c>
      <c r="K225" s="16" t="n">
        <f aca="false">I225-J225</f>
        <v>0</v>
      </c>
      <c r="L225" s="16" t="n">
        <f aca="false">K225^2</f>
        <v>0</v>
      </c>
    </row>
    <row collapsed="false" customFormat="false" customHeight="true" hidden="false" ht="12.25" outlineLevel="0" r="226">
      <c r="B226" s="42"/>
      <c r="C226" s="91"/>
      <c r="D226" s="16"/>
      <c r="E226" s="58"/>
      <c r="G226" s="20" t="n">
        <f aca="false">IF(OR(D226="",E226="",VALUE(D226)&gt;4,VALUE(E226)&gt;4),"",IF(VALUE(D226)&lt;=4,VALUE(D226),""))</f>
        <v>0</v>
      </c>
      <c r="H226" s="20" t="n">
        <f aca="false">IF(OR(D226="",E226="",VALUE(D226)&gt;4,VALUE(E226)&gt;4),"",IF(VALUE(E226)&lt;=4,VALUE(E226),""))</f>
        <v>0</v>
      </c>
      <c r="I226" s="0" t="n">
        <f aca="false">IF(G226="",0,(RANK(G226,UMPat,0)))</f>
        <v>0</v>
      </c>
      <c r="J226" s="16" t="n">
        <f aca="false">IF(H226="",0,(RANK(H226,UMTer,0)))</f>
        <v>0</v>
      </c>
      <c r="K226" s="16" t="n">
        <f aca="false">I226-J226</f>
        <v>0</v>
      </c>
      <c r="L226" s="16" t="n">
        <f aca="false">K226^2</f>
        <v>0</v>
      </c>
    </row>
    <row collapsed="false" customFormat="false" customHeight="true" hidden="false" ht="12.25" outlineLevel="0" r="227">
      <c r="B227" s="42"/>
      <c r="C227" s="90"/>
      <c r="D227" s="16"/>
      <c r="E227" s="16"/>
      <c r="G227" s="20" t="n">
        <f aca="false">IF(OR(D227="",E227="",VALUE(D227)&gt;4,VALUE(E227)&gt;4),"",IF(VALUE(D227)&lt;=4,VALUE(D227),""))</f>
        <v>0</v>
      </c>
      <c r="H227" s="20" t="n">
        <f aca="false">IF(OR(D227="",E227="",VALUE(D227)&gt;4,VALUE(E227)&gt;4),"",IF(VALUE(E227)&lt;=4,VALUE(E227),""))</f>
        <v>0</v>
      </c>
      <c r="I227" s="0" t="n">
        <f aca="false">IF(G227="",0,(RANK(G227,UMPat,0)))</f>
        <v>0</v>
      </c>
      <c r="J227" s="16" t="n">
        <f aca="false">IF(H227="",0,(RANK(H227,UMTer,0)))</f>
        <v>0</v>
      </c>
      <c r="K227" s="16" t="n">
        <f aca="false">I227-J227</f>
        <v>0</v>
      </c>
      <c r="L227" s="16" t="n">
        <f aca="false">K227^2</f>
        <v>0</v>
      </c>
    </row>
    <row collapsed="false" customFormat="false" customHeight="true" hidden="false" ht="12.25" outlineLevel="0" r="228">
      <c r="B228" s="42"/>
      <c r="C228" s="43"/>
      <c r="D228" s="57"/>
      <c r="E228" s="58"/>
      <c r="G228" s="20" t="n">
        <f aca="false">IF(OR(D228="",E228="",VALUE(D228)&gt;4,VALUE(E228)&gt;4),"",IF(VALUE(D228)&lt;=4,VALUE(D228),""))</f>
        <v>0</v>
      </c>
      <c r="H228" s="20" t="n">
        <f aca="false">IF(OR(D228="",E228="",VALUE(D228)&gt;4,VALUE(E228)&gt;4),"",IF(VALUE(E228)&lt;=4,VALUE(E228),""))</f>
        <v>0</v>
      </c>
      <c r="I228" s="0" t="n">
        <f aca="false">IF(G228="",0,(RANK(G228,UMPat,0)))</f>
        <v>0</v>
      </c>
      <c r="J228" s="16" t="n">
        <f aca="false">IF(H228="",0,(RANK(H228,UMTer,0)))</f>
        <v>0</v>
      </c>
      <c r="K228" s="16" t="n">
        <f aca="false">I228-J228</f>
        <v>0</v>
      </c>
      <c r="L228" s="16" t="n">
        <f aca="false">K228^2</f>
        <v>0</v>
      </c>
    </row>
    <row collapsed="false" customFormat="false" customHeight="true" hidden="false" ht="12.25" outlineLevel="0" r="229">
      <c r="B229" s="42"/>
      <c r="C229" s="43"/>
      <c r="D229" s="57"/>
      <c r="G229" s="20" t="n">
        <f aca="false">IF(OR(D229="",E229="",VALUE(D229)&gt;4,VALUE(E229)&gt;4),"",IF(VALUE(D229)&lt;=4,VALUE(D229),""))</f>
        <v>0</v>
      </c>
      <c r="H229" s="20" t="n">
        <f aca="false">IF(OR(D229="",E229="",VALUE(D229)&gt;4,VALUE(E229)&gt;4),"",IF(VALUE(E229)&lt;=4,VALUE(E229),""))</f>
        <v>0</v>
      </c>
      <c r="I229" s="0" t="n">
        <f aca="false">IF(G229="",0,(RANK(G229,UMPat,0)))</f>
        <v>0</v>
      </c>
      <c r="J229" s="16" t="n">
        <f aca="false">IF(H229="",0,(RANK(H229,UMTer,0)))</f>
        <v>0</v>
      </c>
      <c r="K229" s="16" t="n">
        <f aca="false">I229-J229</f>
        <v>0</v>
      </c>
      <c r="L229" s="16" t="n">
        <f aca="false">K229^2</f>
        <v>0</v>
      </c>
    </row>
    <row collapsed="false" customFormat="false" customHeight="true" hidden="false" ht="12.25" outlineLevel="0" r="230">
      <c r="B230" s="42"/>
      <c r="C230" s="43"/>
      <c r="D230" s="57"/>
      <c r="E230" s="58"/>
      <c r="G230" s="20" t="n">
        <f aca="false">IF(OR(D230="",E230="",VALUE(D230)&gt;4,VALUE(E230)&gt;4),"",IF(VALUE(D230)&lt;=4,VALUE(D230),""))</f>
        <v>0</v>
      </c>
      <c r="H230" s="20" t="n">
        <f aca="false">IF(OR(D230="",E230="",VALUE(D230)&gt;4,VALUE(E230)&gt;4),"",IF(VALUE(E230)&lt;=4,VALUE(E230),""))</f>
        <v>0</v>
      </c>
      <c r="I230" s="0" t="n">
        <f aca="false">IF(G230="",0,(RANK(G230,UMPat,0)))</f>
        <v>0</v>
      </c>
      <c r="J230" s="16" t="n">
        <f aca="false">IF(H230="",0,(RANK(H230,UMTer,0)))</f>
        <v>0</v>
      </c>
      <c r="K230" s="16" t="n">
        <f aca="false">I230-J230</f>
        <v>0</v>
      </c>
      <c r="L230" s="16" t="n">
        <f aca="false">K230^2</f>
        <v>0</v>
      </c>
    </row>
    <row collapsed="false" customFormat="false" customHeight="true" hidden="false" ht="12.25" outlineLevel="0" r="231">
      <c r="B231" s="42"/>
      <c r="C231" s="43"/>
      <c r="D231" s="57"/>
      <c r="E231" s="58"/>
      <c r="G231" s="20" t="n">
        <f aca="false">IF(OR(D231="",E231="",VALUE(D231)&gt;4,VALUE(E231)&gt;4),"",IF(VALUE(D231)&lt;=4,VALUE(D231),""))</f>
        <v>0</v>
      </c>
      <c r="H231" s="20" t="n">
        <f aca="false">IF(OR(D231="",E231="",VALUE(D231)&gt;4,VALUE(E231)&gt;4),"",IF(VALUE(E231)&lt;=4,VALUE(E231),""))</f>
        <v>0</v>
      </c>
      <c r="I231" s="0" t="n">
        <f aca="false">IF(G231="",0,(RANK(G231,UMPat,0)))</f>
        <v>0</v>
      </c>
      <c r="J231" s="16" t="n">
        <f aca="false">IF(H231="",0,(RANK(H231,UMTer,0)))</f>
        <v>0</v>
      </c>
      <c r="K231" s="16" t="n">
        <f aca="false">I231-J231</f>
        <v>0</v>
      </c>
      <c r="L231" s="16" t="n">
        <f aca="false">K231^2</f>
        <v>0</v>
      </c>
    </row>
    <row collapsed="false" customFormat="false" customHeight="true" hidden="false" ht="12.25" outlineLevel="0" r="232">
      <c r="B232" s="42"/>
      <c r="C232" s="43"/>
      <c r="D232" s="57"/>
      <c r="E232" s="58"/>
      <c r="G232" s="20" t="n">
        <f aca="false">IF(OR(D232="",E232="",VALUE(D232)&gt;4,VALUE(E232)&gt;4),"",IF(VALUE(D232)&lt;=4,VALUE(D232),""))</f>
        <v>0</v>
      </c>
      <c r="H232" s="20" t="n">
        <f aca="false">IF(OR(D232="",E232="",VALUE(D232)&gt;4,VALUE(E232)&gt;4),"",IF(VALUE(E232)&lt;=4,VALUE(E232),""))</f>
        <v>0</v>
      </c>
      <c r="I232" s="0" t="n">
        <f aca="false">IF(G232="",0,(RANK(G232,UMPat,0)))</f>
        <v>0</v>
      </c>
      <c r="J232" s="16" t="n">
        <f aca="false">IF(H232="",0,(RANK(H232,UMTer,0)))</f>
        <v>0</v>
      </c>
      <c r="K232" s="16" t="n">
        <f aca="false">I232-J232</f>
        <v>0</v>
      </c>
      <c r="L232" s="16" t="n">
        <f aca="false">K232^2</f>
        <v>0</v>
      </c>
    </row>
    <row collapsed="false" customFormat="false" customHeight="true" hidden="false" ht="12.25" outlineLevel="0" r="233">
      <c r="B233" s="42"/>
      <c r="C233" s="43"/>
      <c r="D233" s="57"/>
      <c r="E233" s="58"/>
      <c r="G233" s="20" t="n">
        <f aca="false">IF(OR(D233="",E233="",VALUE(D233)&gt;4,VALUE(E233)&gt;4),"",IF(VALUE(D233)&lt;=4,VALUE(D233),""))</f>
        <v>0</v>
      </c>
      <c r="H233" s="20" t="n">
        <f aca="false">IF(OR(D233="",E233="",VALUE(D233)&gt;4,VALUE(E233)&gt;4),"",IF(VALUE(E233)&lt;=4,VALUE(E233),""))</f>
        <v>0</v>
      </c>
      <c r="I233" s="0" t="n">
        <f aca="false">IF(G233="",0,(RANK(G233,UMPat,0)))</f>
        <v>0</v>
      </c>
      <c r="J233" s="16" t="n">
        <f aca="false">IF(H233="",0,(RANK(H233,UMTer,0)))</f>
        <v>0</v>
      </c>
      <c r="K233" s="16" t="n">
        <f aca="false">I233-J233</f>
        <v>0</v>
      </c>
      <c r="L233" s="16" t="n">
        <f aca="false">K233^2</f>
        <v>0</v>
      </c>
    </row>
    <row collapsed="false" customFormat="false" customHeight="true" hidden="false" ht="12.25" outlineLevel="0" r="234">
      <c r="B234" s="42"/>
      <c r="C234" s="43"/>
      <c r="D234" s="57"/>
      <c r="E234" s="58"/>
      <c r="G234" s="20" t="n">
        <f aca="false">IF(OR(D234="",E234="",VALUE(D234)&gt;4,VALUE(E234)&gt;4),"",IF(VALUE(D234)&lt;=4,VALUE(D234),""))</f>
        <v>0</v>
      </c>
      <c r="H234" s="20" t="n">
        <f aca="false">IF(OR(D234="",E234="",VALUE(D234)&gt;4,VALUE(E234)&gt;4),"",IF(VALUE(E234)&lt;=4,VALUE(E234),""))</f>
        <v>0</v>
      </c>
      <c r="I234" s="0" t="n">
        <f aca="false">IF(G234="",0,(RANK(G234,UMPat,0)))</f>
        <v>0</v>
      </c>
      <c r="J234" s="16" t="n">
        <f aca="false">IF(H234="",0,(RANK(H234,UMTer,0)))</f>
        <v>0</v>
      </c>
      <c r="K234" s="16" t="n">
        <f aca="false">I234-J234</f>
        <v>0</v>
      </c>
      <c r="L234" s="16" t="n">
        <f aca="false">K234^2</f>
        <v>0</v>
      </c>
    </row>
    <row collapsed="false" customFormat="false" customHeight="true" hidden="false" ht="12.25" outlineLevel="0" r="235">
      <c r="B235" s="42"/>
      <c r="C235" s="43"/>
      <c r="D235" s="57"/>
      <c r="E235" s="58"/>
      <c r="G235" s="20" t="n">
        <f aca="false">IF(OR(D235="",E235="",VALUE(D235)&gt;4,VALUE(E235)&gt;4),"",IF(VALUE(D235)&lt;=4,VALUE(D235),""))</f>
        <v>0</v>
      </c>
      <c r="H235" s="20" t="n">
        <f aca="false">IF(OR(D235="",E235="",VALUE(D235)&gt;4,VALUE(E235)&gt;4),"",IF(VALUE(E235)&lt;=4,VALUE(E235),""))</f>
        <v>0</v>
      </c>
      <c r="I235" s="0" t="n">
        <f aca="false">IF(G235="",0,(RANK(G235,UMPat,0)))</f>
        <v>0</v>
      </c>
      <c r="J235" s="16" t="n">
        <f aca="false">IF(H235="",0,(RANK(H235,UMTer,0)))</f>
        <v>0</v>
      </c>
      <c r="K235" s="16" t="n">
        <f aca="false">I235-J235</f>
        <v>0</v>
      </c>
      <c r="L235" s="16" t="n">
        <f aca="false">K235^2</f>
        <v>0</v>
      </c>
    </row>
    <row collapsed="false" customFormat="false" customHeight="true" hidden="false" ht="12.25" outlineLevel="0" r="236">
      <c r="B236" s="42"/>
      <c r="C236" s="43"/>
      <c r="D236" s="57"/>
      <c r="E236" s="58"/>
      <c r="G236" s="20" t="n">
        <f aca="false">IF(OR(D236="",E236="",VALUE(D236)&gt;4,VALUE(E236)&gt;4),"",IF(VALUE(D236)&lt;=4,VALUE(D236),""))</f>
        <v>0</v>
      </c>
      <c r="H236" s="20" t="n">
        <f aca="false">IF(OR(D236="",E236="",VALUE(D236)&gt;4,VALUE(E236)&gt;4),"",IF(VALUE(E236)&lt;=4,VALUE(E236),""))</f>
        <v>0</v>
      </c>
      <c r="I236" s="0" t="n">
        <f aca="false">IF(G236="",0,(RANK(G236,UMPat,0)))</f>
        <v>0</v>
      </c>
      <c r="J236" s="16" t="n">
        <f aca="false">IF(H236="",0,(RANK(H236,UMTer,0)))</f>
        <v>0</v>
      </c>
      <c r="K236" s="16" t="n">
        <f aca="false">I236-J236</f>
        <v>0</v>
      </c>
      <c r="L236" s="16" t="n">
        <f aca="false">K236^2</f>
        <v>0</v>
      </c>
    </row>
    <row collapsed="false" customFormat="false" customHeight="true" hidden="false" ht="12.25" outlineLevel="0" r="237">
      <c r="B237" s="42"/>
      <c r="C237" s="43"/>
      <c r="E237" s="58"/>
      <c r="G237" s="20" t="n">
        <f aca="false">IF(OR(D237="",E237="",VALUE(D237)&gt;4,VALUE(E237)&gt;4),"",IF(VALUE(D237)&lt;=4,VALUE(D237),""))</f>
        <v>0</v>
      </c>
      <c r="H237" s="20" t="n">
        <f aca="false">IF(OR(D237="",E237="",VALUE(D237)&gt;4,VALUE(E237)&gt;4),"",IF(VALUE(E237)&lt;=4,VALUE(E237),""))</f>
        <v>0</v>
      </c>
      <c r="I237" s="0" t="n">
        <f aca="false">IF(G237="",0,(RANK(G237,UMPat,0)))</f>
        <v>0</v>
      </c>
      <c r="J237" s="16" t="n">
        <f aca="false">IF(H237="",0,(RANK(H237,UMTer,0)))</f>
        <v>0</v>
      </c>
      <c r="K237" s="16" t="n">
        <f aca="false">I237-J237</f>
        <v>0</v>
      </c>
      <c r="L237" s="16" t="n">
        <f aca="false">K237^2</f>
        <v>0</v>
      </c>
    </row>
    <row collapsed="false" customFormat="false" customHeight="true" hidden="false" ht="12.25" outlineLevel="0" r="238">
      <c r="B238" s="42"/>
      <c r="C238" s="90"/>
      <c r="D238" s="16"/>
      <c r="E238" s="16"/>
      <c r="G238" s="20" t="n">
        <f aca="false">IF(OR(D238="",E238="",VALUE(D238)&gt;4,VALUE(E238)&gt;4),"",IF(VALUE(D238)&lt;=4,VALUE(D238),""))</f>
        <v>0</v>
      </c>
      <c r="H238" s="20" t="n">
        <f aca="false">IF(OR(D238="",E238="",VALUE(D238)&gt;4,VALUE(E238)&gt;4),"",IF(VALUE(E238)&lt;=4,VALUE(E238),""))</f>
        <v>0</v>
      </c>
      <c r="I238" s="0" t="n">
        <f aca="false">IF(G238="",0,(RANK(G238,UMPat,0)))</f>
        <v>0</v>
      </c>
      <c r="J238" s="16" t="n">
        <f aca="false">IF(H238="",0,(RANK(H238,UMTer,0)))</f>
        <v>0</v>
      </c>
      <c r="K238" s="16" t="n">
        <f aca="false">I238-J238</f>
        <v>0</v>
      </c>
      <c r="L238" s="16" t="n">
        <f aca="false">K238^2</f>
        <v>0</v>
      </c>
    </row>
    <row collapsed="false" customFormat="false" customHeight="true" hidden="false" ht="12.25" outlineLevel="0" r="239">
      <c r="B239" s="42"/>
      <c r="C239" s="43"/>
      <c r="D239" s="57" t="n">
        <v>-3</v>
      </c>
      <c r="E239" s="58" t="s">
        <v>66</v>
      </c>
      <c r="G239" s="20" t="n">
        <f aca="false">IF(OR(D239="",E239="",VALUE(D239)&gt;4,VALUE(E239)&gt;4),"",IF(VALUE(D239)&lt;=4,VALUE(D239),""))</f>
        <v>-3</v>
      </c>
      <c r="H239" s="20" t="n">
        <f aca="false">IF(OR(D239="",E239="",VALUE(D239)&gt;4,VALUE(E239)&gt;4),"",IF(VALUE(E239)&lt;=4,VALUE(E239),""))</f>
        <v>-4</v>
      </c>
      <c r="I239" s="0" t="n">
        <f aca="false">IF(G239="",0,(RANK(G239,UMPat,0)))</f>
        <v>1</v>
      </c>
      <c r="J239" s="16" t="n">
        <f aca="false">IF(H239="",0,(RANK(H239,UMTer,0)))</f>
        <v>1</v>
      </c>
      <c r="K239" s="16" t="n">
        <f aca="false">I239-J239</f>
        <v>0</v>
      </c>
      <c r="L239" s="16" t="n">
        <f aca="false">K239^2</f>
        <v>0</v>
      </c>
    </row>
    <row collapsed="false" customFormat="false" customHeight="true" hidden="false" ht="12.25" outlineLevel="0" r="240"/>
    <row collapsed="false" customFormat="false" customHeight="true" hidden="false" ht="12.25" outlineLevel="0" r="241">
      <c r="C241" s="92"/>
      <c r="D241" s="47" t="n">
        <f aca="false">COUNT(D224:D239)</f>
        <v>1</v>
      </c>
      <c r="E241" s="47" t="n">
        <f aca="false">COUNTA(E224:E239)</f>
        <v>1</v>
      </c>
      <c r="G241" s="0" t="n">
        <f aca="false">COUNT(UMPat)</f>
        <v>1</v>
      </c>
      <c r="H241" s="0" t="n">
        <f aca="false">COUNT(UMTer)</f>
        <v>1</v>
      </c>
      <c r="K241" s="6" t="s">
        <v>14</v>
      </c>
      <c r="L241" s="0" t="n">
        <f aca="false">SUM(L210:L238)</f>
        <v>0</v>
      </c>
    </row>
    <row collapsed="false" customFormat="false" customHeight="true" hidden="false" ht="12.25" outlineLevel="0" r="242"/>
    <row collapsed="false" customFormat="false" customHeight="true" hidden="false" ht="12.25" outlineLevel="0" r="243">
      <c r="C243" s="71"/>
      <c r="D243" s="93" t="s">
        <v>64</v>
      </c>
      <c r="E243" s="47"/>
      <c r="K243" s="0" t="s">
        <v>65</v>
      </c>
      <c r="L243" s="89" t="e">
        <f aca="false">1-((6*L242)/(H241*((H241^2)-1)))</f>
        <v>#DIV/0!</v>
      </c>
    </row>
    <row collapsed="false" customFormat="false" customHeight="true" hidden="false" ht="12.25" outlineLevel="0" r="244">
      <c r="L244" s="0" t="e">
        <f aca="false">PEARSON(G224:G239,H224:H239)</f>
        <v>#DIV/0!</v>
      </c>
    </row>
    <row collapsed="false" customFormat="false" customHeight="true" hidden="false" ht="12.25" outlineLevel="0" r="245"/>
    <row collapsed="false" customFormat="false" customHeight="true" hidden="false" ht="12.25" outlineLevel="0" r="246"/>
    <row collapsed="false" customFormat="false" customHeight="true" hidden="false" ht="13.2" outlineLevel="0" r="247"/>
    <row collapsed="false" customFormat="false" customHeight="true" hidden="false" ht="13.2" outlineLevel="0" r="248"/>
    <row collapsed="false" customFormat="false" customHeight="true" hidden="false" ht="13.2" outlineLevel="0" r="250"/>
    <row collapsed="false" customFormat="false" customHeight="true" hidden="false" ht="13.2" outlineLevel="0" r="251"/>
    <row collapsed="false" customFormat="false" customHeight="true" hidden="false" ht="13.2" outlineLevel="0" r="252"/>
    <row collapsed="false" customFormat="false" customHeight="true" hidden="false" ht="13.2" outlineLevel="0" r="253"/>
    <row collapsed="false" customFormat="false" customHeight="true" hidden="false" ht="13.2" outlineLevel="0" r="254"/>
    <row collapsed="false" customFormat="false" customHeight="true" hidden="false" ht="13.2" outlineLevel="0" r="255"/>
    <row collapsed="false" customFormat="false" customHeight="true" hidden="false" ht="13.2" outlineLevel="0" r="256">
      <c r="M256" s="94"/>
      <c r="U256" s="95"/>
      <c r="V256" s="94"/>
    </row>
    <row collapsed="false" customFormat="false" customHeight="true" hidden="false" ht="13.2" outlineLevel="0" r="257">
      <c r="L257" s="95"/>
      <c r="M257" s="94"/>
      <c r="U257" s="95"/>
      <c r="V257" s="94"/>
    </row>
    <row collapsed="false" customFormat="false" customHeight="true" hidden="false" ht="13.2" outlineLevel="0" r="258">
      <c r="L258" s="95"/>
      <c r="M258" s="94"/>
      <c r="U258" s="95"/>
      <c r="V258" s="94"/>
    </row>
    <row collapsed="false" customFormat="false" customHeight="true" hidden="false" ht="13.2" outlineLevel="0" r="259">
      <c r="L259" s="95"/>
      <c r="M259" s="94"/>
      <c r="U259" s="95"/>
      <c r="V259" s="94"/>
    </row>
    <row collapsed="false" customFormat="false" customHeight="true" hidden="false" ht="13.2" outlineLevel="0" r="260">
      <c r="L260" s="95"/>
      <c r="M260" s="94"/>
      <c r="U260" s="95"/>
      <c r="V260" s="94"/>
    </row>
    <row collapsed="false" customFormat="false" customHeight="true" hidden="false" ht="13.2" outlineLevel="0" r="261">
      <c r="L261" s="95"/>
      <c r="M261" s="94"/>
      <c r="U261" s="95"/>
      <c r="V261" s="94"/>
    </row>
    <row collapsed="false" customFormat="false" customHeight="true" hidden="false" ht="13.2" outlineLevel="0" r="262">
      <c r="L262" s="95"/>
      <c r="M262" s="94"/>
      <c r="U262" s="95"/>
      <c r="V262" s="94"/>
    </row>
    <row collapsed="false" customFormat="false" customHeight="true" hidden="false" ht="13.2" outlineLevel="0" r="263">
      <c r="L263" s="95"/>
      <c r="M263" s="94"/>
      <c r="U263" s="95"/>
      <c r="V263" s="94"/>
    </row>
    <row collapsed="false" customFormat="false" customHeight="true" hidden="false" ht="13.2" outlineLevel="0" r="264">
      <c r="L264" s="95"/>
      <c r="M264" s="94"/>
      <c r="U264" s="95"/>
      <c r="V264" s="94"/>
    </row>
    <row collapsed="false" customFormat="false" customHeight="true" hidden="false" ht="11.4" outlineLevel="0" r="265">
      <c r="L265" s="95"/>
    </row>
    <row collapsed="false" customFormat="false" customHeight="true" hidden="false" ht="15.6" outlineLevel="0" r="267">
      <c r="C267" s="96" t="s">
        <v>67</v>
      </c>
      <c r="D267" s="97"/>
      <c r="F267" s="98" t="s">
        <v>68</v>
      </c>
      <c r="G267" s="98"/>
      <c r="H267" s="98"/>
      <c r="I267" s="98"/>
      <c r="J267" s="99"/>
      <c r="M267" s="86"/>
      <c r="O267" s="100" t="s">
        <v>69</v>
      </c>
      <c r="P267" s="100"/>
      <c r="Q267" s="100"/>
      <c r="R267" s="100"/>
      <c r="S267" s="101"/>
      <c r="T267" s="99"/>
    </row>
    <row collapsed="false" customFormat="false" customHeight="true" hidden="false" ht="13.2" outlineLevel="0" r="268">
      <c r="C268" s="102" t="s">
        <v>70</v>
      </c>
      <c r="D268" s="103" t="n">
        <v>59</v>
      </c>
      <c r="F268" s="104" t="s">
        <v>71</v>
      </c>
      <c r="G268" s="104"/>
      <c r="H268" s="104"/>
      <c r="I268" s="104"/>
      <c r="J268" s="105" t="n">
        <v>18</v>
      </c>
      <c r="K268" s="106"/>
      <c r="L268" s="96" t="s">
        <v>72</v>
      </c>
      <c r="M268" s="107" t="n">
        <v>29</v>
      </c>
      <c r="O268" s="108" t="s">
        <v>71</v>
      </c>
      <c r="P268" s="108"/>
      <c r="Q268" s="108"/>
      <c r="R268" s="108"/>
      <c r="S268" s="108"/>
      <c r="T268" s="109" t="n">
        <v>12</v>
      </c>
    </row>
    <row collapsed="false" customFormat="false" customHeight="true" hidden="false" ht="11.4" outlineLevel="0" r="269">
      <c r="C269" s="110" t="s">
        <v>73</v>
      </c>
      <c r="D269" s="111" t="e">
        <f aca="false">COUNTIF(:,"PT")</f>
        <v>#VALUE!</v>
      </c>
      <c r="F269" s="108" t="s">
        <v>73</v>
      </c>
      <c r="G269" s="108"/>
      <c r="H269" s="108"/>
      <c r="I269" s="108"/>
      <c r="J269" s="40" t="e">
        <f aca="false">COUNTIF(:,"PT")</f>
        <v>#VALUE!</v>
      </c>
      <c r="L269" s="112" t="s">
        <v>71</v>
      </c>
      <c r="M269" s="40" t="e">
        <f aca="false">COUNTIF(:,"PT")</f>
        <v>#VALUE!</v>
      </c>
      <c r="N269" s="41"/>
      <c r="O269" s="108" t="s">
        <v>73</v>
      </c>
      <c r="P269" s="108"/>
      <c r="Q269" s="108"/>
      <c r="R269" s="108"/>
      <c r="S269" s="108"/>
      <c r="T269" s="113" t="e">
        <f aca="false">COUNTIF(:,"PT")</f>
        <v>#VALUE!</v>
      </c>
    </row>
    <row collapsed="false" customFormat="false" customHeight="true" hidden="false" ht="11.4" outlineLevel="0" r="270">
      <c r="C270" s="40" t="s">
        <v>74</v>
      </c>
      <c r="D270" s="114" t="e">
        <f aca="false">D269/D268</f>
        <v>#VALUE!</v>
      </c>
      <c r="F270" s="115" t="s">
        <v>74</v>
      </c>
      <c r="G270" s="115"/>
      <c r="H270" s="115"/>
      <c r="I270" s="115"/>
      <c r="J270" s="114" t="e">
        <f aca="false">J269/J268</f>
        <v>#VALUE!</v>
      </c>
      <c r="L270" s="116" t="s">
        <v>73</v>
      </c>
      <c r="M270" s="114" t="e">
        <f aca="false">M269/M268</f>
        <v>#VALUE!</v>
      </c>
      <c r="N270" s="41"/>
      <c r="O270" s="115" t="s">
        <v>74</v>
      </c>
      <c r="P270" s="115"/>
      <c r="Q270" s="115"/>
      <c r="R270" s="115"/>
      <c r="S270" s="115"/>
      <c r="T270" s="117" t="e">
        <f aca="false">T269/T268</f>
        <v>#VALUE!</v>
      </c>
    </row>
    <row collapsed="false" customFormat="false" customHeight="true" hidden="false" ht="11.4" outlineLevel="0" r="271">
      <c r="C271" s="118" t="s">
        <v>75</v>
      </c>
      <c r="D271" s="119" t="n">
        <f aca="false">J271+T271</f>
        <v>0.311111111111111</v>
      </c>
      <c r="F271" s="120" t="s">
        <v>75</v>
      </c>
      <c r="G271" s="121"/>
      <c r="H271" s="122"/>
      <c r="I271" s="122"/>
      <c r="J271" s="123" t="n">
        <f aca="false">0.2</f>
        <v>0.2</v>
      </c>
      <c r="L271" s="118" t="s">
        <v>74</v>
      </c>
      <c r="M271" s="114" t="n">
        <f aca="false">0.2</f>
        <v>0.2</v>
      </c>
      <c r="N271" s="124"/>
      <c r="O271" s="115" t="s">
        <v>75</v>
      </c>
      <c r="P271" s="47"/>
      <c r="Q271" s="125"/>
      <c r="R271" s="125"/>
      <c r="S271" s="125"/>
      <c r="T271" s="126" t="n">
        <f aca="false">1/9</f>
        <v>0.111111111111111</v>
      </c>
    </row>
    <row collapsed="false" customFormat="false" customHeight="true" hidden="false" ht="15.6" outlineLevel="0" r="272">
      <c r="C272" s="96" t="s">
        <v>76</v>
      </c>
      <c r="D272" s="127"/>
      <c r="F272" s="128" t="s">
        <v>77</v>
      </c>
      <c r="G272" s="129"/>
      <c r="H272" s="130"/>
      <c r="I272" s="130"/>
      <c r="J272" s="131"/>
      <c r="L272" s="132" t="s">
        <v>75</v>
      </c>
      <c r="M272" s="133"/>
      <c r="N272" s="41"/>
      <c r="O272" s="134"/>
      <c r="P272" s="135" t="s">
        <v>78</v>
      </c>
      <c r="Q272" s="135"/>
      <c r="R272" s="135"/>
      <c r="S272" s="135"/>
      <c r="T272" s="136"/>
      <c r="U272" s="137" t="s">
        <v>79</v>
      </c>
    </row>
    <row collapsed="false" customFormat="false" customHeight="true" hidden="false" ht="13.2" outlineLevel="0" r="273">
      <c r="C273" s="138" t="s">
        <v>24</v>
      </c>
      <c r="D273" s="139" t="e">
        <f aca="false">J273+M273+(T273*(-1))</f>
        <v>#NAME?</v>
      </c>
      <c r="F273" s="140" t="s">
        <v>24</v>
      </c>
      <c r="G273" s="141"/>
      <c r="H273" s="141"/>
      <c r="I273" s="141"/>
      <c r="J273" s="140" t="e">
        <f aca="false">D340*$D$339+E340*$E$339+F340*$F$339+G340*$G$339+H340*$H$339</f>
        <v>#NAME?</v>
      </c>
      <c r="L273" s="96" t="s">
        <v>80</v>
      </c>
      <c r="M273" s="140" t="e">
        <f aca="false">D323*$D$339+E323*$E$339+F323*$F$339+G323*$G$339+H323*$H$339</f>
        <v>#NAME?</v>
      </c>
      <c r="O273" s="140" t="s">
        <v>24</v>
      </c>
      <c r="P273" s="47"/>
      <c r="Q273" s="140"/>
      <c r="R273" s="142" t="e">
        <f aca="false">I357*$I$356+J357*$J$356+K357*$K$356+L358*$L$357</f>
        <v>#NAME?</v>
      </c>
      <c r="S273" s="142" t="e">
        <f aca="false">$D$356*D357+$E$356*E357+$F$356*F357+$G$356*G357</f>
        <v>#NAME?</v>
      </c>
      <c r="T273" s="143" t="e">
        <f aca="false">R273+S273</f>
        <v>#NAME?</v>
      </c>
    </row>
    <row collapsed="false" customFormat="false" customHeight="true" hidden="false" ht="11.4" outlineLevel="0" r="274">
      <c r="C274" s="144" t="s">
        <v>25</v>
      </c>
      <c r="D274" s="145" t="e">
        <f aca="false">J274+M274+(T274*(-1))</f>
        <v>#NAME?</v>
      </c>
      <c r="F274" s="144" t="s">
        <v>25</v>
      </c>
      <c r="G274" s="141"/>
      <c r="H274" s="141"/>
      <c r="I274" s="141"/>
      <c r="J274" s="145" t="e">
        <f aca="false">D341*$D$339+E341*$E$339+F341*$F$339+G341*$G$339+H341*$H$339</f>
        <v>#NAME?</v>
      </c>
      <c r="L274" s="138" t="s">
        <v>24</v>
      </c>
      <c r="M274" s="145" t="e">
        <f aca="false">D324*$D$339+E324*$E$339+F324*$F$339+G324*$G$339+H324*$H$339</f>
        <v>#NAME?</v>
      </c>
      <c r="O274" s="145" t="s">
        <v>25</v>
      </c>
      <c r="P274" s="47"/>
      <c r="Q274" s="145"/>
      <c r="R274" s="146" t="e">
        <f aca="false">I358*$I$356+J358*$J$356+K358*$K$356+L359*$L$357</f>
        <v>#NAME?</v>
      </c>
      <c r="S274" s="146" t="e">
        <f aca="false">$D$356*D358+$E$356*E358+$F$356*F358+$G$356*G358</f>
        <v>#NAME?</v>
      </c>
      <c r="T274" s="147" t="e">
        <f aca="false">R274+S274</f>
        <v>#NAME?</v>
      </c>
    </row>
    <row collapsed="false" customFormat="false" customHeight="true" hidden="false" ht="11.4" outlineLevel="0" r="275">
      <c r="C275" s="148"/>
      <c r="D275" s="148"/>
      <c r="E275" s="41"/>
      <c r="F275" s="148"/>
      <c r="G275" s="41"/>
      <c r="H275" s="41"/>
      <c r="I275" s="41"/>
      <c r="J275" s="148"/>
      <c r="L275" s="145" t="s">
        <v>25</v>
      </c>
      <c r="M275" s="148"/>
      <c r="O275" s="148"/>
      <c r="P275" s="41"/>
      <c r="Q275" s="148"/>
      <c r="R275" s="41"/>
      <c r="S275" s="149"/>
      <c r="T275" s="149"/>
      <c r="U275" s="150"/>
    </row>
    <row collapsed="false" customFormat="false" customHeight="true" hidden="false" ht="15.6" outlineLevel="0" r="276">
      <c r="C276" s="151" t="s">
        <v>81</v>
      </c>
      <c r="D276" s="152"/>
      <c r="E276" s="153"/>
      <c r="F276" s="152"/>
      <c r="G276" s="153"/>
      <c r="H276" s="154" t="s">
        <v>69</v>
      </c>
      <c r="I276" s="153"/>
      <c r="J276" s="152"/>
      <c r="L276" s="148"/>
      <c r="M276" s="148"/>
      <c r="O276" s="148"/>
      <c r="P276" s="41"/>
      <c r="Q276" s="148"/>
      <c r="R276" s="41"/>
      <c r="S276" s="149"/>
      <c r="T276" s="149"/>
      <c r="U276" s="150"/>
    </row>
    <row collapsed="false" customFormat="false" customHeight="true" hidden="false" ht="11.4" outlineLevel="0" r="277">
      <c r="L277" s="148"/>
    </row>
    <row collapsed="false" customFormat="false" customHeight="true" hidden="false" ht="11.4" outlineLevel="0" r="278">
      <c r="C278" s="155" t="s">
        <v>82</v>
      </c>
      <c r="D278" s="155" t="s">
        <v>83</v>
      </c>
      <c r="E278" s="156" t="s">
        <v>84</v>
      </c>
      <c r="F278" s="157" t="s">
        <v>85</v>
      </c>
      <c r="G278" s="41"/>
      <c r="H278" s="158" t="s">
        <v>82</v>
      </c>
      <c r="I278" s="159" t="s">
        <v>86</v>
      </c>
      <c r="J278" s="158" t="s">
        <v>84</v>
      </c>
      <c r="K278" s="160" t="s">
        <v>85</v>
      </c>
      <c r="M278" s="155" t="s">
        <v>87</v>
      </c>
      <c r="N278" s="155"/>
    </row>
    <row collapsed="false" customFormat="false" customHeight="true" hidden="false" ht="11.4" outlineLevel="0" r="279">
      <c r="C279" s="93" t="n">
        <f aca="false">"Spearmans roh"</f>
        <v>0</v>
      </c>
      <c r="D279" s="161" t="n">
        <f aca="false">E451</f>
        <v>0</v>
      </c>
      <c r="E279" s="162" t="e">
        <f aca="false">I533</f>
        <v>#VALUE!</v>
      </c>
      <c r="F279" s="47" t="e">
        <f aca="false">I535</f>
        <v>#VALUE!</v>
      </c>
      <c r="G279" s="41"/>
      <c r="H279" s="163" t="n">
        <f aca="false">"Spearmans roh"</f>
        <v>0</v>
      </c>
      <c r="I279" s="164" t="n">
        <f aca="false">J400</f>
        <v>0</v>
      </c>
      <c r="J279" s="165" t="e">
        <f aca="false">I560</f>
        <v>#VALUE!</v>
      </c>
      <c r="K279" s="166" t="e">
        <f aca="false">I562</f>
        <v>#VALUE!</v>
      </c>
      <c r="M279" s="167" t="s">
        <v>88</v>
      </c>
      <c r="N279" s="168" t="s">
        <v>89</v>
      </c>
    </row>
    <row collapsed="false" customFormat="false" customHeight="true" hidden="false" ht="11.4" outlineLevel="0" r="280">
      <c r="C280" s="161" t="s">
        <v>90</v>
      </c>
      <c r="D280" s="169" t="n">
        <f aca="false">H776</f>
        <v>0</v>
      </c>
      <c r="E280" s="47"/>
      <c r="F280" s="47"/>
      <c r="G280" s="41"/>
      <c r="H280" s="161" t="s">
        <v>90</v>
      </c>
      <c r="I280" s="163"/>
      <c r="J280" s="163"/>
      <c r="K280" s="163"/>
      <c r="M280" s="170" t="s">
        <v>91</v>
      </c>
      <c r="N280" s="171" t="s">
        <v>92</v>
      </c>
    </row>
    <row collapsed="false" customFormat="false" customHeight="true" hidden="false" ht="11.4" outlineLevel="0" r="281">
      <c r="C281" s="161" t="s">
        <v>93</v>
      </c>
      <c r="D281" s="172" t="e">
        <f aca="false">I690</f>
        <v>#NAME?</v>
      </c>
      <c r="E281" s="47"/>
      <c r="F281" s="47"/>
      <c r="G281" s="41"/>
      <c r="H281" s="161" t="s">
        <v>93</v>
      </c>
      <c r="I281" s="47"/>
      <c r="J281" s="47"/>
      <c r="K281" s="47"/>
      <c r="M281" s="170" t="s">
        <v>94</v>
      </c>
      <c r="N281" s="171" t="s">
        <v>95</v>
      </c>
      <c r="O281" s="41"/>
      <c r="P281" s="41"/>
      <c r="Q281" s="41"/>
      <c r="R281" s="41"/>
      <c r="S281" s="25"/>
    </row>
    <row collapsed="false" customFormat="false" customHeight="true" hidden="false" ht="11.4" outlineLevel="0" r="282">
      <c r="C282" s="173" t="s">
        <v>22</v>
      </c>
      <c r="D282" s="169" t="e">
        <f aca="false">K608</f>
        <v>#NAME?</v>
      </c>
      <c r="E282" s="47" t="e">
        <f aca="false">D621</f>
        <v>#NAME?</v>
      </c>
      <c r="F282" s="47" t="e">
        <f aca="false">D627</f>
        <v>#NAME?</v>
      </c>
      <c r="G282" s="41"/>
      <c r="H282" s="173" t="s">
        <v>22</v>
      </c>
      <c r="I282" s="47"/>
      <c r="J282" s="47"/>
      <c r="K282" s="47"/>
      <c r="M282" s="170" t="s">
        <v>96</v>
      </c>
      <c r="N282" s="171" t="s">
        <v>97</v>
      </c>
      <c r="O282" s="41"/>
      <c r="P282" s="41"/>
      <c r="Q282" s="41"/>
      <c r="R282" s="41"/>
      <c r="S282" s="25"/>
    </row>
    <row collapsed="false" customFormat="false" customHeight="true" hidden="false" ht="11.4" outlineLevel="0" r="283">
      <c r="C283" s="174"/>
      <c r="G283" s="41"/>
      <c r="K283" s="41"/>
      <c r="M283" s="175" t="s">
        <v>98</v>
      </c>
      <c r="N283" s="176" t="s">
        <v>99</v>
      </c>
      <c r="O283" s="41"/>
      <c r="P283" s="41"/>
      <c r="Q283" s="41"/>
      <c r="R283" s="41"/>
      <c r="S283" s="25"/>
    </row>
    <row collapsed="false" customFormat="false" customHeight="true" hidden="false" ht="11.4" outlineLevel="0" r="284">
      <c r="C284" s="59" t="s">
        <v>100</v>
      </c>
      <c r="F284" s="41"/>
      <c r="G284" s="41"/>
      <c r="H284" s="41"/>
      <c r="I284" s="41"/>
      <c r="J284" s="41"/>
      <c r="K284" s="41"/>
      <c r="L284" s="23"/>
      <c r="M284" s="41"/>
      <c r="N284" s="41"/>
      <c r="O284" s="41"/>
      <c r="P284" s="41"/>
      <c r="Q284" s="41"/>
      <c r="R284" s="41"/>
      <c r="S284" s="25"/>
    </row>
    <row collapsed="false" customFormat="false" customHeight="true" hidden="false" ht="13.2" outlineLevel="0" r="285">
      <c r="F285" s="41"/>
      <c r="L285" s="41"/>
    </row>
    <row collapsed="false" customFormat="false" customHeight="true" hidden="false" ht="11.4" outlineLevel="0" r="286">
      <c r="C286" s="47"/>
      <c r="D286" s="145" t="s">
        <v>25</v>
      </c>
      <c r="E286" s="140" t="s">
        <v>101</v>
      </c>
      <c r="H286" s="47"/>
      <c r="I286" s="145" t="s">
        <v>25</v>
      </c>
      <c r="J286" s="140" t="s">
        <v>101</v>
      </c>
    </row>
    <row collapsed="false" customFormat="false" customHeight="true" hidden="false" ht="11.4" outlineLevel="0" r="287">
      <c r="C287" s="47" t="s">
        <v>102</v>
      </c>
      <c r="D287" s="47" t="n">
        <f aca="false">D449</f>
        <v>0</v>
      </c>
      <c r="E287" s="47" t="n">
        <f aca="false">E449</f>
        <v>0</v>
      </c>
      <c r="H287" s="47" t="s">
        <v>102</v>
      </c>
      <c r="I287" s="47" t="n">
        <f aca="false">I398</f>
        <v>0</v>
      </c>
      <c r="J287" s="47" t="n">
        <f aca="false">J398</f>
        <v>0</v>
      </c>
    </row>
    <row collapsed="false" customFormat="false" customHeight="true" hidden="false" ht="11.4" outlineLevel="0" r="289">
      <c r="C289" s="47" t="s">
        <v>103</v>
      </c>
      <c r="D289" s="177" t="e">
        <f aca="false">SUM(D381:D447)</f>
        <v>#VALUE!</v>
      </c>
      <c r="E289" s="178" t="e">
        <f aca="false">SUM(E381:E447)</f>
        <v>#VALUE!</v>
      </c>
      <c r="H289" s="47" t="s">
        <v>104</v>
      </c>
      <c r="I289" s="179" t="e">
        <f aca="false">T274</f>
        <v>#NAME?</v>
      </c>
      <c r="J289" s="180" t="e">
        <f aca="false">T273</f>
        <v>#NAME?</v>
      </c>
      <c r="U289" s="1"/>
    </row>
    <row collapsed="false" customFormat="false" customHeight="true" hidden="false" ht="11.4" outlineLevel="0" r="290">
      <c r="C290" s="79" t="s">
        <v>105</v>
      </c>
      <c r="D290" s="181" t="n">
        <f aca="false">COUNTIF($D$381:$D$447,0)</f>
        <v>0</v>
      </c>
      <c r="E290" s="182" t="n">
        <f aca="false">COUNTIF($E$381:$E$447,0)</f>
        <v>0</v>
      </c>
      <c r="H290" s="47" t="s">
        <v>106</v>
      </c>
      <c r="I290" s="183" t="n">
        <f aca="false">COUNTIF($I$382:$I$396,-4)</f>
        <v>0</v>
      </c>
      <c r="J290" s="184" t="n">
        <f aca="false">COUNTIF($J$382:$J$396,-4)</f>
        <v>0</v>
      </c>
      <c r="U290" s="1"/>
    </row>
    <row collapsed="false" customFormat="false" customHeight="true" hidden="false" ht="11.4" outlineLevel="0" r="291">
      <c r="C291" s="47" t="s">
        <v>107</v>
      </c>
      <c r="D291" s="177" t="n">
        <f aca="false">COUNTIF($D$381:$D$447,1)</f>
        <v>0</v>
      </c>
      <c r="E291" s="178" t="n">
        <f aca="false">COUNTIF($E$381:$E$447,1)</f>
        <v>0</v>
      </c>
      <c r="H291" s="47" t="s">
        <v>108</v>
      </c>
      <c r="I291" s="183" t="n">
        <f aca="false">COUNTIF($I$382:$I$396,-3)</f>
        <v>0</v>
      </c>
      <c r="J291" s="184" t="n">
        <f aca="false">COUNTIF($J$382:$J$396,-3)</f>
        <v>0</v>
      </c>
      <c r="U291" s="1"/>
    </row>
    <row collapsed="false" customFormat="false" customHeight="true" hidden="false" ht="11.4" outlineLevel="0" r="292">
      <c r="C292" s="47" t="s">
        <v>109</v>
      </c>
      <c r="D292" s="177" t="n">
        <f aca="false">COUNTIF($D$381:$D$447,2)</f>
        <v>0</v>
      </c>
      <c r="E292" s="178" t="n">
        <f aca="false">COUNTIF($E$381:$E$447,2)</f>
        <v>0</v>
      </c>
      <c r="H292" s="47" t="s">
        <v>110</v>
      </c>
      <c r="I292" s="183" t="n">
        <f aca="false">COUNTIF($I$382:$I$396,-2)</f>
        <v>0</v>
      </c>
      <c r="J292" s="184" t="n">
        <f aca="false">COUNTIF($J$382:$J$396,-2)</f>
        <v>0</v>
      </c>
      <c r="U292" s="1"/>
    </row>
    <row collapsed="false" customFormat="false" customHeight="true" hidden="false" ht="11.4" outlineLevel="0" r="293">
      <c r="C293" s="47" t="s">
        <v>111</v>
      </c>
      <c r="D293" s="177" t="n">
        <f aca="false">COUNTIF($D$381:$D$447,3)</f>
        <v>0</v>
      </c>
      <c r="E293" s="178" t="n">
        <f aca="false">COUNTIF($E$381:$E$447,3)</f>
        <v>0</v>
      </c>
      <c r="H293" s="47" t="s">
        <v>112</v>
      </c>
      <c r="I293" s="183" t="n">
        <f aca="false">COUNTIF($I$382:$I$396,-1)</f>
        <v>0</v>
      </c>
      <c r="J293" s="184" t="n">
        <f aca="false">COUNTIF($J$382:$J$396,-1)</f>
        <v>0</v>
      </c>
      <c r="U293" s="1"/>
    </row>
    <row collapsed="false" customFormat="false" customHeight="true" hidden="false" ht="11.4" outlineLevel="0" r="294">
      <c r="C294" s="47" t="s">
        <v>113</v>
      </c>
      <c r="D294" s="177" t="n">
        <f aca="false">COUNTIF($D$381:$D$447,4)</f>
        <v>0</v>
      </c>
      <c r="E294" s="178" t="n">
        <f aca="false">COUNTIF($E$381:$E$447,4)</f>
        <v>0</v>
      </c>
      <c r="H294" s="47" t="s">
        <v>105</v>
      </c>
      <c r="I294" s="183" t="n">
        <f aca="false">COUNTIF($I$382:$I$396,0)</f>
        <v>0</v>
      </c>
      <c r="J294" s="184" t="n">
        <f aca="false">COUNTIF($J$382:$J$396,0)</f>
        <v>0</v>
      </c>
      <c r="U294" s="1"/>
    </row>
    <row collapsed="false" customFormat="false" customHeight="true" hidden="false" ht="11.4" outlineLevel="0" r="295">
      <c r="C295" s="47" t="s">
        <v>114</v>
      </c>
      <c r="D295" s="177" t="e">
        <f aca="false">MODE(D381:D447)</f>
        <v>#VALUE!</v>
      </c>
      <c r="E295" s="178" t="e">
        <f aca="false">MODE(E381:E447)</f>
        <v>#VALUE!</v>
      </c>
      <c r="H295" s="47" t="s">
        <v>107</v>
      </c>
      <c r="I295" s="183" t="n">
        <f aca="false">COUNTIF($I$382:$I$396,1)</f>
        <v>0</v>
      </c>
      <c r="J295" s="184" t="n">
        <f aca="false">COUNTIF($J$382:$J$396,1)</f>
        <v>0</v>
      </c>
    </row>
    <row collapsed="false" customFormat="false" customHeight="true" hidden="false" ht="11.4" outlineLevel="0" r="296">
      <c r="C296" s="47"/>
      <c r="D296" s="185"/>
      <c r="E296" s="186"/>
      <c r="H296" s="47" t="s">
        <v>109</v>
      </c>
      <c r="I296" s="183" t="n">
        <f aca="false">COUNTIF($I$382:$I$396,2)</f>
        <v>0</v>
      </c>
      <c r="J296" s="184" t="n">
        <f aca="false">COUNTIF($J$382:$J$396,2)</f>
        <v>0</v>
      </c>
    </row>
    <row collapsed="false" customFormat="false" customHeight="true" hidden="false" ht="11.4" outlineLevel="0" r="297">
      <c r="C297" s="187" t="s">
        <v>115</v>
      </c>
      <c r="D297" s="185"/>
      <c r="E297" s="186"/>
      <c r="H297" s="47" t="s">
        <v>111</v>
      </c>
      <c r="I297" s="183" t="n">
        <f aca="false">COUNTIF($I$382:$I$396,3)</f>
        <v>0</v>
      </c>
      <c r="J297" s="184" t="n">
        <f aca="false">COUNTIF($J$382:$J$396,3)</f>
        <v>0</v>
      </c>
    </row>
    <row collapsed="false" customFormat="false" customHeight="true" hidden="false" ht="11.4" outlineLevel="0" r="298">
      <c r="C298" s="47" t="s">
        <v>116</v>
      </c>
      <c r="D298" s="185" t="e">
        <f aca="false">AVERAGE(D381:D447)</f>
        <v>#VALUE!</v>
      </c>
      <c r="E298" s="186" t="e">
        <f aca="false">AVERAGE(E381:E447)</f>
        <v>#VALUE!</v>
      </c>
      <c r="H298" s="47" t="s">
        <v>113</v>
      </c>
      <c r="I298" s="183" t="n">
        <f aca="false">COUNTIF($I$382:$I$396,4)</f>
        <v>0</v>
      </c>
      <c r="J298" s="184" t="n">
        <f aca="false">COUNTIF($J$382:$J$396,4)</f>
        <v>0</v>
      </c>
    </row>
    <row collapsed="false" customFormat="false" customHeight="true" hidden="false" ht="11.4" outlineLevel="0" r="299">
      <c r="C299" s="47" t="s">
        <v>117</v>
      </c>
      <c r="D299" s="185" t="e">
        <f aca="false">MEDIAN(D381:D447)</f>
        <v>#VALUE!</v>
      </c>
      <c r="E299" s="186" t="e">
        <f aca="false">MEDIAN(E381:E447)</f>
        <v>#VALUE!</v>
      </c>
      <c r="H299" s="47" t="s">
        <v>114</v>
      </c>
      <c r="I299" s="177"/>
      <c r="J299" s="178"/>
      <c r="V299" s="41"/>
    </row>
    <row collapsed="false" customFormat="false" customHeight="true" hidden="false" ht="11.4" outlineLevel="0" r="300">
      <c r="C300" s="47" t="s">
        <v>118</v>
      </c>
      <c r="D300" s="185" t="e">
        <f aca="false">D299-0.5+(1/COUNTIF(D381:D447,D299))*(D449/2-IF(D299=H344,G345+G328,IF(D299=G344,F345+F328,IF(D299=F344,E345+E328,IF(D299=E344,D345+D328,0)))))</f>
        <v>#VALUE!</v>
      </c>
      <c r="E300" s="186" t="e">
        <f aca="false">E299-0.5+(1/COUNTIF(D381:D447,E299))*(D449/2-IF(E299=H344,G345+G328,IF(E299=G344,F345+F328,IF(E299=F344,E345+E328,IF(E299=E344,D345+D328,0)))))</f>
        <v>#VALUE!</v>
      </c>
      <c r="H300" s="47"/>
      <c r="I300" s="185"/>
      <c r="J300" s="186"/>
      <c r="V300" s="41"/>
    </row>
    <row collapsed="false" customFormat="false" customHeight="true" hidden="false" ht="11.4" outlineLevel="0" r="301">
      <c r="H301" s="187" t="s">
        <v>115</v>
      </c>
      <c r="I301" s="185"/>
      <c r="J301" s="186"/>
      <c r="V301" s="41"/>
    </row>
    <row collapsed="false" customFormat="false" customHeight="true" hidden="false" ht="11.4" outlineLevel="0" r="302">
      <c r="C302" s="187" t="s">
        <v>119</v>
      </c>
      <c r="D302" s="47"/>
      <c r="E302" s="47"/>
      <c r="H302" s="47" t="s">
        <v>116</v>
      </c>
      <c r="I302" s="185" t="e">
        <f aca="false">AVERAGE(I381:I396)</f>
        <v>#VALUE!</v>
      </c>
      <c r="J302" s="185" t="e">
        <f aca="false">AVERAGE(J381:J396)</f>
        <v>#VALUE!</v>
      </c>
    </row>
    <row collapsed="false" customFormat="false" customHeight="true" hidden="false" ht="11.4" outlineLevel="0" r="303">
      <c r="C303" s="47" t="s">
        <v>120</v>
      </c>
      <c r="D303" s="188" t="e">
        <f aca="false">D299-0.5+((1/COUNTIF(D381:D447,D299))*(D449/4-HLOOKUP(D299-1,D344:H346,3,FALSE())))</f>
        <v>#VALUE!</v>
      </c>
      <c r="E303" s="189" t="e">
        <f aca="false">E299-0.5+((1/COUNTIF(D381:D447,E299))*(D449/4-HLOOKUP(E299-1,D344:H346,2,FALSE())))</f>
        <v>#VALUE!</v>
      </c>
      <c r="H303" s="47" t="s">
        <v>117</v>
      </c>
      <c r="I303" s="185" t="e">
        <f aca="false">MEDIAN(up)</f>
        <v>#NAME?</v>
      </c>
      <c r="J303" s="186" t="e">
        <f aca="false">MEDIAN(ut)</f>
        <v>#NAME?</v>
      </c>
    </row>
    <row collapsed="false" customFormat="false" customHeight="true" hidden="false" ht="11.4" outlineLevel="0" r="304">
      <c r="C304" s="47" t="s">
        <v>121</v>
      </c>
      <c r="D304" s="188" t="e">
        <f aca="false">D299-0.5+((1/COUNTIF(D381:D447,D299))*(3*D449/4-HLOOKUP(D299-1,D344:H346,3,FALSE())))</f>
        <v>#VALUE!</v>
      </c>
      <c r="E304" s="189" t="e">
        <f aca="false">E299-0.5+((1/COUNTIF(D381:D447,E299))*(3*D449/4-HLOOKUP(E299-1,D344:H346,2,FALSE())))</f>
        <v>#VALUE!</v>
      </c>
      <c r="H304" s="47" t="s">
        <v>118</v>
      </c>
      <c r="I304" s="185" t="e">
        <f aca="false">I303-0.5+(1/COUNTIF(I397:I447,I303))*(I449/2-IF(I303=M344,L346+L329,IF(I303=L345,K345+K328,IF(I303=K344,J345+J328,IF(I303=J344,I345+I328,0)))))</f>
        <v>#NAME?</v>
      </c>
      <c r="J304" s="186" t="e">
        <f aca="false">J303-0.5+(1/COUNTIF(I397:I447,J303))*(I449/2-IF(J303=M344,L346+L329,IF(J303=L345,K345+K328,IF(J303=K344,J345+J328,IF(J303=J344,I345+I328,0)))))</f>
        <v>#NAME?</v>
      </c>
    </row>
    <row collapsed="false" customFormat="false" customHeight="true" hidden="false" ht="11.4" outlineLevel="0" r="305">
      <c r="C305" s="47" t="s">
        <v>122</v>
      </c>
      <c r="D305" s="188" t="e">
        <f aca="false">(D304-D303)/2</f>
        <v>#VALUE!</v>
      </c>
      <c r="E305" s="189" t="e">
        <f aca="false">(E304-E303)/2</f>
        <v>#VALUE!</v>
      </c>
    </row>
    <row collapsed="false" customFormat="false" customHeight="true" hidden="false" ht="11.4" outlineLevel="0" r="306">
      <c r="H306" s="187" t="s">
        <v>119</v>
      </c>
      <c r="I306" s="47"/>
      <c r="J306" s="47"/>
    </row>
    <row collapsed="false" customFormat="false" customHeight="true" hidden="false" ht="11.4" outlineLevel="0" r="307">
      <c r="C307" s="47" t="s">
        <v>123</v>
      </c>
      <c r="D307" s="177" t="e">
        <f aca="false">MIN(D381:D447)</f>
        <v>#VALUE!</v>
      </c>
      <c r="E307" s="178" t="e">
        <f aca="false">MIN(E381:E447)</f>
        <v>#VALUE!</v>
      </c>
      <c r="H307" s="47" t="s">
        <v>120</v>
      </c>
      <c r="I307" s="188" t="e">
        <f aca="false">I303-0.5+((1/COUNTIF(up,I303))*(I398/4-HLOOKUP(I303-1,D361:L363,3,FALSE())))</f>
        <v>#NAME?</v>
      </c>
      <c r="J307" s="189" t="e">
        <f aca="false">J303-0.5+((1/COUNTIF(ut,J303))*(I398/4-HLOOKUP(J303-1,D361:L363,2,FALSE())))</f>
        <v>#NAME?</v>
      </c>
    </row>
    <row collapsed="false" customFormat="false" customHeight="true" hidden="false" ht="13.2" outlineLevel="0" r="308">
      <c r="C308" s="47" t="s">
        <v>124</v>
      </c>
      <c r="D308" s="177" t="e">
        <f aca="false">MAX((D381:D447))</f>
        <v>#VALUE!</v>
      </c>
      <c r="E308" s="178" t="e">
        <f aca="false">MAX((E381:E447))</f>
        <v>#VALUE!</v>
      </c>
      <c r="H308" s="47" t="s">
        <v>121</v>
      </c>
      <c r="I308" s="188" t="e">
        <f aca="false">I303-0.5+((1/COUNTIF(up,I303))*(3*I398/4-HLOOKUP(I303-1,D361:L363,3,FALSE())))</f>
        <v>#NAME?</v>
      </c>
      <c r="J308" s="189" t="e">
        <f aca="false">J303-0.5+((1/COUNTIF(ut,J303))*(3*I398/4-HLOOKUP(J303-1,D361:L363,2,FALSE())))</f>
        <v>#NAME?</v>
      </c>
    </row>
    <row collapsed="false" customFormat="false" customHeight="true" hidden="false" ht="13.2" outlineLevel="0" r="309">
      <c r="C309" s="162" t="s">
        <v>125</v>
      </c>
      <c r="D309" s="177" t="e">
        <f aca="false">D308-D307</f>
        <v>#VALUE!</v>
      </c>
      <c r="E309" s="190" t="e">
        <f aca="false">E308-E307</f>
        <v>#VALUE!</v>
      </c>
      <c r="H309" s="47" t="s">
        <v>122</v>
      </c>
      <c r="I309" s="188" t="e">
        <f aca="false">(I308-I307)/2</f>
        <v>#NAME?</v>
      </c>
      <c r="J309" s="189" t="e">
        <f aca="false">(J308-J307)/2</f>
        <v>#NAME?</v>
      </c>
    </row>
    <row collapsed="false" customFormat="false" customHeight="true" hidden="false" ht="13.2" outlineLevel="0" r="310">
      <c r="C310" s="47" t="s">
        <v>126</v>
      </c>
      <c r="D310" s="188" t="e">
        <f aca="false">KURT(D381:D447)</f>
        <v>#VALUE!</v>
      </c>
      <c r="E310" s="191" t="e">
        <f aca="false">KURT(E381:E447)</f>
        <v>#VALUE!</v>
      </c>
      <c r="H310" s="40"/>
      <c r="I310" s="47"/>
      <c r="J310" s="47"/>
    </row>
    <row collapsed="false" customFormat="false" customHeight="true" hidden="false" ht="11.4" outlineLevel="0" r="311">
      <c r="C311" s="162" t="s">
        <v>127</v>
      </c>
      <c r="D311" s="188" t="e">
        <f aca="false">VAR(D381:D447)</f>
        <v>#DIV/0!</v>
      </c>
      <c r="E311" s="191" t="e">
        <f aca="false">VAR(E381:E447)</f>
        <v>#DIV/0!</v>
      </c>
      <c r="H311" s="47" t="s">
        <v>123</v>
      </c>
      <c r="I311" s="177" t="e">
        <f aca="false">MIN(up)</f>
        <v>#NAME?</v>
      </c>
      <c r="J311" s="178" t="e">
        <f aca="false">MIN(ut)</f>
        <v>#NAME?</v>
      </c>
    </row>
    <row collapsed="false" customFormat="false" customHeight="true" hidden="false" ht="11.4" outlineLevel="0" r="312">
      <c r="C312" s="162" t="s">
        <v>128</v>
      </c>
      <c r="D312" s="188" t="e">
        <f aca="false">STDEV(D381:D447)</f>
        <v>#DIV/0!</v>
      </c>
      <c r="E312" s="191" t="e">
        <f aca="false">STDEV(E381:E447)</f>
        <v>#DIV/0!</v>
      </c>
      <c r="H312" s="47" t="s">
        <v>124</v>
      </c>
      <c r="I312" s="177" t="e">
        <f aca="false">MAX(up)</f>
        <v>#NAME?</v>
      </c>
      <c r="J312" s="178" t="e">
        <f aca="false">MAX(ut)</f>
        <v>#NAME?</v>
      </c>
    </row>
    <row collapsed="false" customFormat="false" customHeight="true" hidden="false" ht="11.4" outlineLevel="0" r="313">
      <c r="H313" s="162" t="s">
        <v>125</v>
      </c>
      <c r="I313" s="177" t="e">
        <f aca="false">I312-I311</f>
        <v>#NAME?</v>
      </c>
      <c r="J313" s="190" t="e">
        <f aca="false">J312-J311</f>
        <v>#NAME?</v>
      </c>
    </row>
    <row collapsed="false" customFormat="false" customHeight="true" hidden="false" ht="11.4" outlineLevel="0" r="314">
      <c r="C314" s="61"/>
      <c r="D314" s="192"/>
      <c r="E314" s="193"/>
      <c r="H314" s="47" t="s">
        <v>126</v>
      </c>
      <c r="I314" s="188" t="e">
        <f aca="false">KURT(up)</f>
        <v>#NAME?</v>
      </c>
      <c r="J314" s="191" t="e">
        <f aca="false">KURT(ut)</f>
        <v>#NAME?</v>
      </c>
    </row>
    <row collapsed="false" customFormat="false" customHeight="true" hidden="false" ht="11.4" outlineLevel="0" r="315">
      <c r="C315" s="61"/>
      <c r="D315" s="192"/>
      <c r="E315" s="193"/>
      <c r="H315" s="162" t="s">
        <v>127</v>
      </c>
      <c r="I315" s="188" t="e">
        <f aca="false">VAR(up)</f>
        <v>#NAME?</v>
      </c>
      <c r="J315" s="191" t="e">
        <f aca="false">VAR(ut)</f>
        <v>#NAME?</v>
      </c>
    </row>
    <row collapsed="false" customFormat="false" customHeight="true" hidden="false" ht="11.4" outlineLevel="0" r="316">
      <c r="C316" s="61"/>
      <c r="D316" s="192"/>
      <c r="E316" s="193"/>
      <c r="H316" s="162" t="s">
        <v>128</v>
      </c>
      <c r="I316" s="188" t="e">
        <f aca="false">STDEV(up)</f>
        <v>#NAME?</v>
      </c>
      <c r="J316" s="191" t="e">
        <f aca="false">STDEV(ut)</f>
        <v>#NAME?</v>
      </c>
    </row>
    <row collapsed="false" customFormat="false" customHeight="true" hidden="false" ht="11.4" outlineLevel="0" r="317">
      <c r="C317" s="61"/>
      <c r="D317" s="192"/>
      <c r="E317" s="193"/>
    </row>
    <row collapsed="false" customFormat="false" customHeight="true" hidden="false" ht="11.4" outlineLevel="0" r="318">
      <c r="C318" s="61"/>
      <c r="D318" s="192"/>
      <c r="E318" s="193"/>
    </row>
    <row collapsed="false" customFormat="false" customHeight="true" hidden="false" ht="11.4" outlineLevel="0" r="319">
      <c r="C319" s="55" t="s">
        <v>129</v>
      </c>
      <c r="D319" s="194"/>
      <c r="E319" s="195"/>
    </row>
    <row collapsed="false" customFormat="false" customHeight="true" hidden="false" ht="12" outlineLevel="0" r="320">
      <c r="F320" s="59"/>
    </row>
    <row collapsed="false" customFormat="false" customHeight="true" hidden="false" ht="15.6" outlineLevel="0" r="321">
      <c r="C321" s="98" t="s">
        <v>68</v>
      </c>
      <c r="D321" s="98"/>
      <c r="E321" s="98"/>
      <c r="F321" s="98"/>
      <c r="J321" s="1"/>
      <c r="N321" s="1"/>
    </row>
    <row collapsed="false" customFormat="false" customHeight="true" hidden="false" ht="12" outlineLevel="0" r="322">
      <c r="C322" s="40" t="s">
        <v>130</v>
      </c>
      <c r="D322" s="40" t="n">
        <v>0</v>
      </c>
      <c r="E322" s="40" t="n">
        <v>1</v>
      </c>
      <c r="F322" s="40" t="n">
        <v>2</v>
      </c>
      <c r="G322" s="40" t="n">
        <v>3</v>
      </c>
      <c r="H322" s="40" t="n">
        <v>4</v>
      </c>
      <c r="I322" s="40" t="s">
        <v>131</v>
      </c>
      <c r="J322" s="40" t="s">
        <v>132</v>
      </c>
      <c r="N322" s="1"/>
    </row>
    <row collapsed="false" customFormat="false" customHeight="true" hidden="false" ht="12" outlineLevel="0" r="323">
      <c r="C323" s="140" t="s">
        <v>24</v>
      </c>
      <c r="D323" s="140" t="e">
        <f aca="false">COUNTIF(kfreihe0,"T")+COUNTIF(kfreihe0,"PT")</f>
        <v>#NAME?</v>
      </c>
      <c r="E323" s="140" t="e">
        <f aca="false">COUNTIF(kfreihe1,"T")+COUNTIF(kfreihe1,"PT")</f>
        <v>#NAME?</v>
      </c>
      <c r="F323" s="140" t="e">
        <f aca="false">COUNTIF(kfreihe2,"T")+COUNTIF(kfreihe2,"PT")</f>
        <v>#NAME?</v>
      </c>
      <c r="G323" s="140" t="e">
        <f aca="false">COUNTIF(kfreihe3,"T")+COUNTIF(kfreihe3,"PT")</f>
        <v>#NAME?</v>
      </c>
      <c r="H323" s="140" t="e">
        <f aca="false">COUNTIF(kfreihe4,"T")+COUNTIF(kfreihe4,"PT")</f>
        <v>#NAME?</v>
      </c>
      <c r="I323" s="140" t="e">
        <f aca="false">SUM(D323:H323)</f>
        <v>#NAME?</v>
      </c>
      <c r="J323" s="191" t="e">
        <f aca="false">(D323*$D$339+E323*$E$339+F323*$F$339+G323*$G$339+H323*$H$339)/I323</f>
        <v>#NAME?</v>
      </c>
      <c r="K323" s="196"/>
      <c r="L323" s="0" t="s">
        <v>133</v>
      </c>
      <c r="N323" s="1"/>
    </row>
    <row collapsed="false" customFormat="false" customHeight="true" hidden="false" ht="12" outlineLevel="0" r="324">
      <c r="C324" s="145" t="s">
        <v>25</v>
      </c>
      <c r="D324" s="197" t="e">
        <f aca="false">COUNTIF(kfreihe0,"P")+COUNTIF(kfreihe0,"PT")</f>
        <v>#NAME?</v>
      </c>
      <c r="E324" s="197" t="e">
        <f aca="false">COUNTIF(kfreihe1,"P")+COUNTIF(kfreihe1,"PT")</f>
        <v>#NAME?</v>
      </c>
      <c r="F324" s="197" t="e">
        <f aca="false">COUNTIF(kfreihe2,"P")+COUNTIF(kfreihe2,"PT")</f>
        <v>#NAME?</v>
      </c>
      <c r="G324" s="197" t="e">
        <f aca="false">COUNTIF(kfreihe3,"P")+COUNTIF(kfreihe3,"PT")</f>
        <v>#NAME?</v>
      </c>
      <c r="H324" s="197" t="e">
        <f aca="false">COUNTIF(kfreihe4,"P")+COUNTIF(kfreihe4,"PT")</f>
        <v>#NAME?</v>
      </c>
      <c r="I324" s="145" t="e">
        <f aca="false">SUM(D324:H324)</f>
        <v>#NAME?</v>
      </c>
      <c r="J324" s="188" t="e">
        <f aca="false">(D324*$D$339+E324*$E$339+F324*$F$339+G324*$G$339+H324*$H$339)/I324</f>
        <v>#NAME?</v>
      </c>
      <c r="K324" s="196"/>
      <c r="L324" s="75" t="e">
        <f aca="false">I323*$H$322</f>
        <v>#NAME?</v>
      </c>
      <c r="N324" s="1"/>
    </row>
    <row collapsed="false" customFormat="false" customHeight="true" hidden="false" ht="12" outlineLevel="0" r="325">
      <c r="C325" s="198" t="s">
        <v>134</v>
      </c>
      <c r="D325" s="199" t="e">
        <f aca="false">COUNTIF(kfreihe0,"PT")</f>
        <v>#NAME?</v>
      </c>
      <c r="E325" s="199" t="e">
        <f aca="false">COUNTIF(kfreihe1,"PT")</f>
        <v>#NAME?</v>
      </c>
      <c r="F325" s="199" t="e">
        <f aca="false">COUNTIF(kfreihe2,"PT")</f>
        <v>#NAME?</v>
      </c>
      <c r="G325" s="199" t="e">
        <f aca="false">COUNTIF(kfreihe3,"PT")</f>
        <v>#NAME?</v>
      </c>
      <c r="H325" s="199" t="e">
        <f aca="false">COUNTIF(kfreihe4,"PT")</f>
        <v>#NAME?</v>
      </c>
      <c r="I325" s="198" t="e">
        <f aca="false">SUM(D325:H325)</f>
        <v>#NAME?</v>
      </c>
      <c r="J325" s="200" t="e">
        <f aca="false">(D325*$D$339+E325*$E$339+F325*$F$339+G325*$G$339+H325*$H$339)/I325</f>
        <v>#NAME?</v>
      </c>
      <c r="L325" s="75" t="e">
        <f aca="false">I324*$H$322</f>
        <v>#NAME?</v>
      </c>
      <c r="Z325" s="201"/>
      <c r="AA325" s="201"/>
      <c r="AF325" s="201"/>
      <c r="AG325" s="201"/>
      <c r="AH325" s="201"/>
      <c r="AI325" s="201"/>
      <c r="AJ325" s="201"/>
      <c r="AK325" s="201"/>
      <c r="AL325" s="201"/>
      <c r="AM325" s="201"/>
      <c r="AN325" s="201"/>
      <c r="AO325" s="201"/>
      <c r="AP325" s="201"/>
    </row>
    <row collapsed="false" customFormat="false" customHeight="true" hidden="false" ht="11.4" outlineLevel="0" r="326">
      <c r="C326" s="47"/>
      <c r="D326" s="47"/>
      <c r="E326" s="47"/>
      <c r="F326" s="47"/>
      <c r="G326" s="47"/>
      <c r="H326" s="47"/>
      <c r="I326" s="140"/>
      <c r="J326" s="47"/>
      <c r="Z326" s="61"/>
      <c r="AH326" s="201"/>
      <c r="AI326" s="201"/>
      <c r="AJ326" s="201"/>
      <c r="AK326" s="201"/>
      <c r="AL326" s="201"/>
      <c r="AM326" s="201"/>
      <c r="AN326" s="201"/>
      <c r="AO326" s="201"/>
      <c r="AP326" s="201"/>
    </row>
    <row collapsed="false" customFormat="false" customHeight="true" hidden="false" ht="11.4" outlineLevel="0" r="327">
      <c r="C327" s="40" t="s">
        <v>135</v>
      </c>
      <c r="D327" s="40" t="n">
        <v>0</v>
      </c>
      <c r="E327" s="40" t="n">
        <v>1</v>
      </c>
      <c r="F327" s="40" t="n">
        <v>2</v>
      </c>
      <c r="G327" s="40" t="n">
        <v>3</v>
      </c>
      <c r="H327" s="40" t="n">
        <v>4</v>
      </c>
      <c r="I327" s="140"/>
      <c r="J327" s="47"/>
      <c r="AA327" s="61"/>
      <c r="AH327" s="201"/>
      <c r="AI327" s="201"/>
      <c r="AJ327" s="201"/>
      <c r="AK327" s="201"/>
      <c r="AL327" s="201"/>
      <c r="AM327" s="201"/>
      <c r="AN327" s="201"/>
      <c r="AO327" s="201"/>
      <c r="AP327" s="201"/>
    </row>
    <row collapsed="false" customFormat="false" customHeight="true" hidden="false" ht="10.5" outlineLevel="0" r="328">
      <c r="C328" s="140" t="s">
        <v>24</v>
      </c>
      <c r="D328" s="140" t="e">
        <f aca="false">D323</f>
        <v>#NAME?</v>
      </c>
      <c r="E328" s="140" t="e">
        <f aca="false">D328+E323</f>
        <v>#NAME?</v>
      </c>
      <c r="F328" s="140" t="e">
        <f aca="false">E328+F323</f>
        <v>#NAME?</v>
      </c>
      <c r="G328" s="140" t="e">
        <f aca="false">F328+G323</f>
        <v>#NAME?</v>
      </c>
      <c r="H328" s="140" t="e">
        <f aca="false">G328+H323</f>
        <v>#NAME?</v>
      </c>
      <c r="I328" s="140"/>
      <c r="J328" s="47"/>
      <c r="AA328" s="61"/>
      <c r="AH328" s="201"/>
      <c r="AI328" s="201"/>
      <c r="AJ328" s="201"/>
      <c r="AK328" s="201"/>
      <c r="AL328" s="201"/>
      <c r="AM328" s="201"/>
      <c r="AN328" s="201"/>
      <c r="AO328" s="201"/>
      <c r="AP328" s="201"/>
    </row>
    <row collapsed="false" customFormat="false" customHeight="true" hidden="false" ht="10.5" outlineLevel="0" r="329">
      <c r="C329" s="145" t="s">
        <v>25</v>
      </c>
      <c r="D329" s="145" t="e">
        <f aca="false">D324</f>
        <v>#NAME?</v>
      </c>
      <c r="E329" s="145" t="e">
        <f aca="false">D329+E324</f>
        <v>#NAME?</v>
      </c>
      <c r="F329" s="145" t="e">
        <f aca="false">E329+F324</f>
        <v>#NAME?</v>
      </c>
      <c r="G329" s="145" t="e">
        <f aca="false">F329+G324</f>
        <v>#NAME?</v>
      </c>
      <c r="H329" s="145" t="e">
        <f aca="false">G329+H324</f>
        <v>#NAME?</v>
      </c>
      <c r="I329" s="140"/>
      <c r="J329" s="47"/>
      <c r="AA329" s="61"/>
      <c r="AH329" s="201"/>
      <c r="AI329" s="201"/>
      <c r="AJ329" s="201"/>
      <c r="AK329" s="201"/>
      <c r="AL329" s="201"/>
      <c r="AM329" s="201"/>
      <c r="AN329" s="201"/>
      <c r="AO329" s="201"/>
      <c r="AP329" s="201"/>
    </row>
    <row collapsed="false" customFormat="false" customHeight="true" hidden="false" ht="13.2" outlineLevel="0" r="330">
      <c r="C330" s="198" t="s">
        <v>134</v>
      </c>
      <c r="D330" s="198" t="e">
        <f aca="false">D325</f>
        <v>#NAME?</v>
      </c>
      <c r="E330" s="198" t="e">
        <f aca="false">D330+E325</f>
        <v>#NAME?</v>
      </c>
      <c r="F330" s="198" t="e">
        <f aca="false">E330+F325</f>
        <v>#NAME?</v>
      </c>
      <c r="G330" s="198" t="e">
        <f aca="false">F330+G325</f>
        <v>#NAME?</v>
      </c>
      <c r="H330" s="198" t="e">
        <f aca="false">G330+H325</f>
        <v>#NAME?</v>
      </c>
      <c r="I330" s="140"/>
      <c r="J330" s="47"/>
      <c r="AA330" s="61"/>
      <c r="AH330" s="201"/>
      <c r="AI330" s="201"/>
      <c r="AJ330" s="201"/>
      <c r="AK330" s="201"/>
      <c r="AL330" s="201"/>
      <c r="AM330" s="201"/>
      <c r="AN330" s="201"/>
      <c r="AO330" s="201"/>
      <c r="AP330" s="201"/>
    </row>
    <row collapsed="false" customFormat="false" customHeight="true" hidden="false" ht="11.4" outlineLevel="0" r="331">
      <c r="C331" s="47"/>
      <c r="D331" s="47"/>
      <c r="E331" s="47"/>
      <c r="F331" s="47"/>
      <c r="G331" s="47"/>
      <c r="H331" s="47"/>
      <c r="I331" s="140"/>
      <c r="J331" s="47"/>
      <c r="N331" s="1"/>
      <c r="AA331" s="61"/>
      <c r="AH331" s="201"/>
      <c r="AI331" s="201"/>
      <c r="AJ331" s="201"/>
      <c r="AK331" s="201"/>
      <c r="AL331" s="201"/>
      <c r="AM331" s="201"/>
      <c r="AN331" s="201"/>
      <c r="AO331" s="201"/>
      <c r="AP331" s="201"/>
    </row>
    <row collapsed="false" customFormat="false" customHeight="true" hidden="false" ht="11.4" outlineLevel="0" r="332">
      <c r="C332" s="40" t="s">
        <v>136</v>
      </c>
      <c r="D332" s="40" t="n">
        <v>0</v>
      </c>
      <c r="E332" s="40" t="n">
        <v>1</v>
      </c>
      <c r="F332" s="40" t="n">
        <v>2</v>
      </c>
      <c r="G332" s="40" t="n">
        <v>3</v>
      </c>
      <c r="H332" s="40" t="n">
        <v>4</v>
      </c>
      <c r="I332" s="140"/>
      <c r="J332" s="47"/>
      <c r="N332" s="1"/>
      <c r="AA332" s="61"/>
      <c r="AH332" s="201"/>
      <c r="AI332" s="61"/>
      <c r="AJ332" s="61"/>
      <c r="AK332" s="61"/>
      <c r="AL332" s="201"/>
      <c r="AM332" s="201"/>
      <c r="AN332" s="201"/>
      <c r="AO332" s="201"/>
      <c r="AP332" s="201"/>
    </row>
    <row collapsed="false" customFormat="false" customHeight="true" hidden="false" ht="11.4" outlineLevel="0" r="333">
      <c r="C333" s="140" t="s">
        <v>24</v>
      </c>
      <c r="D333" s="202" t="e">
        <f aca="false">D323/$H$328</f>
        <v>#NAME?</v>
      </c>
      <c r="E333" s="202" t="e">
        <f aca="false">E323/$H$328</f>
        <v>#NAME?</v>
      </c>
      <c r="F333" s="202" t="e">
        <f aca="false">F323/$H$328</f>
        <v>#NAME?</v>
      </c>
      <c r="G333" s="202" t="e">
        <f aca="false">G323/$H$328</f>
        <v>#NAME?</v>
      </c>
      <c r="H333" s="202" t="e">
        <f aca="false">H323/$H$328</f>
        <v>#NAME?</v>
      </c>
      <c r="I333" s="202" t="e">
        <f aca="false">SUM(D333:H333)</f>
        <v>#NAME?</v>
      </c>
      <c r="J333" s="47"/>
      <c r="N333" s="1"/>
      <c r="AA333" s="61"/>
      <c r="AH333" s="201"/>
      <c r="AI333" s="61"/>
      <c r="AJ333" s="61"/>
      <c r="AK333" s="61"/>
      <c r="AL333" s="201"/>
      <c r="AM333" s="201"/>
      <c r="AN333" s="201"/>
      <c r="AO333" s="201"/>
      <c r="AP333" s="201"/>
    </row>
    <row collapsed="false" customFormat="false" customHeight="true" hidden="false" ht="11.4" outlineLevel="0" r="334">
      <c r="C334" s="145" t="s">
        <v>25</v>
      </c>
      <c r="D334" s="203" t="e">
        <f aca="false">D324/$H$329</f>
        <v>#NAME?</v>
      </c>
      <c r="E334" s="203" t="e">
        <f aca="false">E324/$H$329</f>
        <v>#NAME?</v>
      </c>
      <c r="F334" s="203" t="e">
        <f aca="false">F324/$H$329</f>
        <v>#NAME?</v>
      </c>
      <c r="G334" s="203" t="e">
        <f aca="false">G324/$H$329</f>
        <v>#NAME?</v>
      </c>
      <c r="H334" s="203" t="e">
        <f aca="false">H324/$H$329</f>
        <v>#NAME?</v>
      </c>
      <c r="I334" s="203" t="e">
        <f aca="false">SUM(D334:H334)</f>
        <v>#NAME?</v>
      </c>
      <c r="J334" s="47"/>
      <c r="N334" s="1"/>
      <c r="AA334" s="61"/>
      <c r="AH334" s="201"/>
      <c r="AI334" s="61"/>
      <c r="AJ334" s="61"/>
      <c r="AK334" s="61"/>
      <c r="AL334" s="201"/>
      <c r="AM334" s="201"/>
      <c r="AN334" s="201"/>
      <c r="AO334" s="201"/>
      <c r="AP334" s="201"/>
    </row>
    <row collapsed="false" customFormat="false" customHeight="true" hidden="false" ht="11.4" outlineLevel="0" r="335">
      <c r="C335" s="198" t="s">
        <v>134</v>
      </c>
      <c r="D335" s="204" t="e">
        <f aca="false">D325/$H$330</f>
        <v>#NAME?</v>
      </c>
      <c r="E335" s="204" t="e">
        <f aca="false">E325/$H$330</f>
        <v>#NAME?</v>
      </c>
      <c r="F335" s="204" t="e">
        <f aca="false">F325/$H$330</f>
        <v>#NAME?</v>
      </c>
      <c r="G335" s="204" t="e">
        <f aca="false">G325/$H$330</f>
        <v>#NAME?</v>
      </c>
      <c r="H335" s="204" t="e">
        <f aca="false">H325/$H$330</f>
        <v>#NAME?</v>
      </c>
      <c r="I335" s="204" t="e">
        <f aca="false">SUM(D335:H335)</f>
        <v>#NAME?</v>
      </c>
      <c r="J335" s="169"/>
      <c r="N335" s="1"/>
      <c r="AA335" s="61"/>
      <c r="AH335" s="201"/>
      <c r="AI335" s="201"/>
      <c r="AJ335" s="61"/>
      <c r="AK335" s="205"/>
      <c r="AL335" s="201"/>
      <c r="AM335" s="206"/>
      <c r="AN335" s="201"/>
      <c r="AO335" s="201"/>
      <c r="AP335" s="201"/>
    </row>
    <row collapsed="false" customFormat="false" customHeight="true" hidden="false" ht="11.4" outlineLevel="0" r="336">
      <c r="J336" s="1"/>
      <c r="AA336" s="61"/>
      <c r="AH336" s="201"/>
      <c r="AI336" s="201"/>
      <c r="AJ336" s="61"/>
      <c r="AK336" s="205"/>
      <c r="AL336" s="201"/>
      <c r="AM336" s="206"/>
      <c r="AN336" s="201"/>
      <c r="AO336" s="201"/>
      <c r="AP336" s="201"/>
    </row>
    <row collapsed="false" customFormat="false" customHeight="true" hidden="false" ht="11.4" outlineLevel="0" r="337">
      <c r="J337" s="1"/>
      <c r="AA337" s="61"/>
      <c r="AH337" s="201"/>
      <c r="AI337" s="201"/>
      <c r="AJ337" s="61"/>
      <c r="AK337" s="205"/>
      <c r="AL337" s="201"/>
      <c r="AM337" s="206"/>
      <c r="AN337" s="201"/>
      <c r="AO337" s="201"/>
      <c r="AP337" s="201"/>
    </row>
    <row collapsed="false" customFormat="false" customHeight="true" hidden="false" ht="15.6" outlineLevel="0" r="338">
      <c r="C338" s="96" t="s">
        <v>72</v>
      </c>
      <c r="D338" s="41"/>
      <c r="E338" s="41"/>
      <c r="F338" s="41"/>
      <c r="G338" s="41"/>
      <c r="H338" s="41"/>
      <c r="I338" s="41"/>
      <c r="J338" s="41"/>
      <c r="O338" s="41"/>
      <c r="AH338" s="201"/>
      <c r="AI338" s="201"/>
      <c r="AJ338" s="61"/>
      <c r="AK338" s="205"/>
      <c r="AL338" s="201"/>
      <c r="AM338" s="206"/>
      <c r="AN338" s="201"/>
      <c r="AO338" s="201"/>
      <c r="AP338" s="201"/>
    </row>
    <row collapsed="false" customFormat="false" customHeight="true" hidden="false" ht="11.4" outlineLevel="0" r="339">
      <c r="C339" s="40" t="s">
        <v>130</v>
      </c>
      <c r="D339" s="40" t="n">
        <v>0</v>
      </c>
      <c r="E339" s="40" t="n">
        <v>1</v>
      </c>
      <c r="F339" s="40" t="n">
        <v>2</v>
      </c>
      <c r="G339" s="40" t="n">
        <v>3</v>
      </c>
      <c r="H339" s="40" t="n">
        <v>4</v>
      </c>
      <c r="I339" s="40" t="s">
        <v>131</v>
      </c>
      <c r="J339" s="40" t="s">
        <v>132</v>
      </c>
      <c r="O339" s="41"/>
      <c r="AH339" s="201"/>
      <c r="AI339" s="201"/>
      <c r="AJ339" s="61"/>
      <c r="AK339" s="205"/>
      <c r="AL339" s="201"/>
      <c r="AM339" s="206"/>
      <c r="AN339" s="201"/>
      <c r="AO339" s="201"/>
      <c r="AP339" s="201"/>
    </row>
    <row collapsed="false" customFormat="false" customHeight="true" hidden="false" ht="11.4" outlineLevel="0" r="340">
      <c r="C340" s="140" t="s">
        <v>24</v>
      </c>
      <c r="D340" s="140" t="e">
        <f aca="false">COUNTIF(atreihe0,"T")+COUNTIF(atreihe0,"PT")</f>
        <v>#NAME?</v>
      </c>
      <c r="E340" s="140" t="e">
        <f aca="false">COUNTIF(atreihe1,"T")+COUNTIF(atreihe1,"PT")</f>
        <v>#NAME?</v>
      </c>
      <c r="F340" s="140" t="e">
        <f aca="false">COUNTIF(atreihe2,"T")+COUNTIF(atreihe2,"PT")</f>
        <v>#NAME?</v>
      </c>
      <c r="G340" s="140" t="e">
        <f aca="false">COUNTIF(atreihe3,"T")+COUNTIF(atreihe3,"PT")</f>
        <v>#NAME?</v>
      </c>
      <c r="H340" s="140" t="e">
        <f aca="false">COUNTIF(atreihe4,"T")+COUNTIF(atreihe4,"PT")</f>
        <v>#NAME?</v>
      </c>
      <c r="I340" s="140" t="e">
        <f aca="false">SUM(D340:H340)</f>
        <v>#NAME?</v>
      </c>
      <c r="J340" s="191" t="e">
        <f aca="false">(D340*$D$339+E340*$E$339+F340*$F$339+G340*$G$339+H340*$H$339)/I340</f>
        <v>#NAME?</v>
      </c>
      <c r="K340" s="77"/>
      <c r="L340" s="0" t="s">
        <v>133</v>
      </c>
      <c r="AH340" s="201"/>
      <c r="AI340" s="201"/>
      <c r="AJ340" s="61"/>
      <c r="AK340" s="205"/>
      <c r="AL340" s="201"/>
      <c r="AM340" s="206"/>
      <c r="AN340" s="201"/>
      <c r="AO340" s="201"/>
      <c r="AP340" s="201"/>
    </row>
    <row collapsed="false" customFormat="false" customHeight="true" hidden="false" ht="11.4" outlineLevel="0" r="341">
      <c r="C341" s="145" t="s">
        <v>25</v>
      </c>
      <c r="D341" s="197" t="e">
        <f aca="false">COUNTIF(atreihe0,"P")+COUNTIF(atreihe0,"PT")</f>
        <v>#NAME?</v>
      </c>
      <c r="E341" s="197" t="e">
        <f aca="false">COUNTIF(atreihe1,"P")+COUNTIF(atreihe1,"PT")</f>
        <v>#NAME?</v>
      </c>
      <c r="F341" s="197" t="e">
        <f aca="false">COUNTIF(atreihe2,"P")+COUNTIF(atreihe2,"PT")</f>
        <v>#NAME?</v>
      </c>
      <c r="G341" s="197" t="e">
        <f aca="false">COUNTIF(atreihe3,"P")+COUNTIF(atreihe3,"PT")</f>
        <v>#NAME?</v>
      </c>
      <c r="H341" s="197" t="e">
        <f aca="false">COUNTIF(atreihe4,"P")+COUNTIF(atreihe4,"PT")</f>
        <v>#NAME?</v>
      </c>
      <c r="I341" s="145" t="e">
        <f aca="false">SUM(D341:H341)</f>
        <v>#NAME?</v>
      </c>
      <c r="J341" s="188" t="e">
        <f aca="false">(D341*$D$339+E341*$E$339+F341*$F$339+G341*$G$339+H341*$H$339)/I341</f>
        <v>#NAME?</v>
      </c>
      <c r="K341" s="77"/>
      <c r="L341" s="77" t="e">
        <f aca="false">I340*H339</f>
        <v>#NAME?</v>
      </c>
      <c r="AH341" s="201"/>
      <c r="AI341" s="201"/>
      <c r="AJ341" s="61"/>
      <c r="AK341" s="205"/>
      <c r="AL341" s="201"/>
      <c r="AM341" s="206"/>
      <c r="AN341" s="201"/>
      <c r="AO341" s="201"/>
      <c r="AP341" s="201"/>
    </row>
    <row collapsed="false" customFormat="false" customHeight="true" hidden="false" ht="11.4" outlineLevel="0" r="342">
      <c r="C342" s="198" t="s">
        <v>134</v>
      </c>
      <c r="D342" s="199" t="e">
        <f aca="false">COUNTIF(atreihe0,"PT")</f>
        <v>#NAME?</v>
      </c>
      <c r="E342" s="199" t="e">
        <f aca="false">COUNTIF(atreihe1,"PT")</f>
        <v>#NAME?</v>
      </c>
      <c r="F342" s="199" t="e">
        <f aca="false">COUNTIF(atreihe2,"PT")</f>
        <v>#NAME?</v>
      </c>
      <c r="G342" s="199" t="e">
        <f aca="false">COUNTIF(atreihe3,"PT")</f>
        <v>#NAME?</v>
      </c>
      <c r="H342" s="199" t="e">
        <f aca="false">COUNTIF(atreihe4,"PT")</f>
        <v>#NAME?</v>
      </c>
      <c r="I342" s="198" t="e">
        <f aca="false">SUM(D342:H342)</f>
        <v>#NAME?</v>
      </c>
      <c r="J342" s="200" t="e">
        <f aca="false">(D342*$D$339+E342*$E$339+F342*$F$339+G342*$G$339+H342*$H$339)/I342</f>
        <v>#NAME?</v>
      </c>
      <c r="L342" s="77" t="e">
        <f aca="false">I341*$H$339</f>
        <v>#NAME?</v>
      </c>
      <c r="AH342" s="201"/>
      <c r="AI342" s="201"/>
      <c r="AJ342" s="61"/>
      <c r="AK342" s="205"/>
      <c r="AL342" s="201"/>
      <c r="AM342" s="206"/>
      <c r="AN342" s="201"/>
      <c r="AO342" s="201"/>
      <c r="AP342" s="201"/>
    </row>
    <row collapsed="false" customFormat="false" customHeight="true" hidden="false" ht="11.4" outlineLevel="0" r="343">
      <c r="C343" s="69"/>
      <c r="D343" s="47"/>
      <c r="E343" s="47"/>
      <c r="F343" s="47"/>
      <c r="G343" s="47"/>
      <c r="H343" s="47"/>
      <c r="I343" s="140"/>
      <c r="J343" s="47"/>
      <c r="P343" s="207"/>
      <c r="Q343" s="207"/>
      <c r="R343" s="208"/>
      <c r="S343" s="41"/>
      <c r="AH343" s="201"/>
      <c r="AI343" s="201"/>
      <c r="AJ343" s="61"/>
      <c r="AK343" s="205"/>
      <c r="AL343" s="201"/>
      <c r="AM343" s="206"/>
      <c r="AN343" s="201"/>
      <c r="AO343" s="201"/>
      <c r="AP343" s="201"/>
    </row>
    <row collapsed="false" customFormat="false" customHeight="true" hidden="false" ht="11.4" outlineLevel="0" r="344">
      <c r="C344" s="40" t="s">
        <v>135</v>
      </c>
      <c r="D344" s="40" t="n">
        <v>0</v>
      </c>
      <c r="E344" s="40" t="n">
        <v>1</v>
      </c>
      <c r="F344" s="40" t="n">
        <v>2</v>
      </c>
      <c r="G344" s="40" t="n">
        <v>3</v>
      </c>
      <c r="H344" s="40" t="n">
        <v>4</v>
      </c>
      <c r="I344" s="140"/>
      <c r="J344" s="47"/>
      <c r="R344" s="209"/>
      <c r="S344" s="41"/>
      <c r="AH344" s="201"/>
      <c r="AI344" s="201"/>
      <c r="AJ344" s="61"/>
      <c r="AK344" s="205"/>
      <c r="AL344" s="201"/>
      <c r="AM344" s="206"/>
      <c r="AN344" s="201"/>
      <c r="AO344" s="201"/>
      <c r="AP344" s="201"/>
    </row>
    <row collapsed="false" customFormat="false" customHeight="true" hidden="false" ht="11.4" outlineLevel="0" r="345">
      <c r="C345" s="140" t="s">
        <v>24</v>
      </c>
      <c r="D345" s="140" t="e">
        <f aca="false">D340</f>
        <v>#NAME?</v>
      </c>
      <c r="E345" s="140" t="e">
        <f aca="false">D345+E340</f>
        <v>#NAME?</v>
      </c>
      <c r="F345" s="140" t="e">
        <f aca="false">E345+F340</f>
        <v>#NAME?</v>
      </c>
      <c r="G345" s="140" t="e">
        <f aca="false">F345+G340</f>
        <v>#NAME?</v>
      </c>
      <c r="H345" s="140" t="e">
        <f aca="false">G345+H340</f>
        <v>#NAME?</v>
      </c>
      <c r="I345" s="140"/>
      <c r="J345" s="47"/>
      <c r="R345" s="41"/>
      <c r="S345" s="41"/>
      <c r="AH345" s="201"/>
      <c r="AI345" s="201"/>
      <c r="AJ345" s="61"/>
      <c r="AK345" s="205"/>
      <c r="AL345" s="201"/>
      <c r="AM345" s="206"/>
      <c r="AN345" s="201"/>
      <c r="AO345" s="201"/>
      <c r="AP345" s="201"/>
    </row>
    <row collapsed="false" customFormat="false" customHeight="true" hidden="false" ht="11.4" outlineLevel="0" r="346">
      <c r="B346" s="210"/>
      <c r="C346" s="145" t="s">
        <v>25</v>
      </c>
      <c r="D346" s="145" t="e">
        <f aca="false">D341</f>
        <v>#NAME?</v>
      </c>
      <c r="E346" s="145" t="e">
        <f aca="false">D346+E341</f>
        <v>#NAME?</v>
      </c>
      <c r="F346" s="145" t="e">
        <f aca="false">E346+F341</f>
        <v>#NAME?</v>
      </c>
      <c r="G346" s="145" t="e">
        <f aca="false">F346+G341</f>
        <v>#NAME?</v>
      </c>
      <c r="H346" s="145" t="e">
        <f aca="false">G346+H341</f>
        <v>#NAME?</v>
      </c>
      <c r="I346" s="140"/>
      <c r="J346" s="47"/>
      <c r="S346" s="0"/>
      <c r="AH346" s="201"/>
      <c r="AI346" s="201"/>
      <c r="AJ346" s="61"/>
      <c r="AK346" s="205"/>
      <c r="AL346" s="201"/>
      <c r="AM346" s="206"/>
      <c r="AN346" s="201"/>
      <c r="AO346" s="201"/>
      <c r="AP346" s="201"/>
    </row>
    <row collapsed="false" customFormat="false" customHeight="true" hidden="false" ht="11.4" outlineLevel="0" r="347">
      <c r="C347" s="198" t="s">
        <v>134</v>
      </c>
      <c r="D347" s="198" t="e">
        <f aca="false">D342</f>
        <v>#NAME?</v>
      </c>
      <c r="E347" s="198" t="e">
        <f aca="false">D347+E342</f>
        <v>#NAME?</v>
      </c>
      <c r="F347" s="198" t="e">
        <f aca="false">E347+F342</f>
        <v>#NAME?</v>
      </c>
      <c r="G347" s="198" t="e">
        <f aca="false">F347+G342</f>
        <v>#NAME?</v>
      </c>
      <c r="H347" s="198" t="e">
        <f aca="false">G347+H342</f>
        <v>#NAME?</v>
      </c>
      <c r="I347" s="140"/>
      <c r="J347" s="47"/>
      <c r="R347" s="1"/>
      <c r="S347" s="0"/>
      <c r="AH347" s="201"/>
      <c r="AI347" s="201"/>
      <c r="AJ347" s="61"/>
      <c r="AK347" s="205"/>
      <c r="AL347" s="201"/>
      <c r="AM347" s="206"/>
      <c r="AN347" s="201"/>
      <c r="AO347" s="201"/>
      <c r="AP347" s="201"/>
    </row>
    <row collapsed="false" customFormat="false" customHeight="true" hidden="false" ht="11.4" outlineLevel="0" r="348">
      <c r="C348" s="69"/>
      <c r="D348" s="47"/>
      <c r="E348" s="47"/>
      <c r="F348" s="47"/>
      <c r="G348" s="47"/>
      <c r="H348" s="47"/>
      <c r="I348" s="140"/>
      <c r="J348" s="47"/>
      <c r="AH348" s="201"/>
      <c r="AI348" s="201"/>
      <c r="AJ348" s="61"/>
      <c r="AK348" s="205"/>
      <c r="AL348" s="201"/>
      <c r="AM348" s="211"/>
      <c r="AN348" s="201"/>
      <c r="AO348" s="201"/>
      <c r="AP348" s="201"/>
    </row>
    <row collapsed="false" customFormat="false" customHeight="true" hidden="false" ht="11.4" outlineLevel="0" r="349">
      <c r="C349" s="40" t="s">
        <v>136</v>
      </c>
      <c r="D349" s="40" t="n">
        <v>0</v>
      </c>
      <c r="E349" s="40" t="n">
        <v>1</v>
      </c>
      <c r="F349" s="40" t="n">
        <v>2</v>
      </c>
      <c r="G349" s="40" t="n">
        <v>3</v>
      </c>
      <c r="H349" s="40" t="n">
        <v>4</v>
      </c>
      <c r="I349" s="140"/>
      <c r="J349" s="40"/>
      <c r="AH349" s="201"/>
      <c r="AI349" s="201"/>
      <c r="AJ349" s="61"/>
      <c r="AK349" s="205"/>
      <c r="AL349" s="201"/>
      <c r="AM349" s="211"/>
      <c r="AN349" s="201"/>
      <c r="AO349" s="201"/>
      <c r="AP349" s="201"/>
    </row>
    <row collapsed="false" customFormat="false" customHeight="true" hidden="false" ht="11.4" outlineLevel="0" r="350">
      <c r="C350" s="140" t="s">
        <v>24</v>
      </c>
      <c r="D350" s="202" t="e">
        <f aca="false">D340/$H$345</f>
        <v>#NAME?</v>
      </c>
      <c r="E350" s="202" t="e">
        <f aca="false">E340/$H$345</f>
        <v>#NAME?</v>
      </c>
      <c r="F350" s="202" t="e">
        <f aca="false">F340/$H$345</f>
        <v>#NAME?</v>
      </c>
      <c r="G350" s="202" t="e">
        <f aca="false">G340/$H$345</f>
        <v>#NAME?</v>
      </c>
      <c r="H350" s="202" t="e">
        <f aca="false">H340/$H$345</f>
        <v>#NAME?</v>
      </c>
      <c r="I350" s="202" t="e">
        <f aca="false">SUM(D350:H350)</f>
        <v>#NAME?</v>
      </c>
      <c r="J350" s="47"/>
      <c r="AH350" s="201"/>
      <c r="AI350" s="201"/>
      <c r="AJ350" s="61"/>
      <c r="AK350" s="205"/>
      <c r="AL350" s="201"/>
      <c r="AM350" s="211"/>
      <c r="AN350" s="201"/>
      <c r="AO350" s="205"/>
      <c r="AP350" s="201"/>
    </row>
    <row collapsed="false" customFormat="false" customHeight="true" hidden="false" ht="11.4" outlineLevel="0" r="351">
      <c r="C351" s="145" t="s">
        <v>25</v>
      </c>
      <c r="D351" s="203" t="e">
        <f aca="false">D341/$H$346</f>
        <v>#NAME?</v>
      </c>
      <c r="E351" s="203" t="e">
        <f aca="false">E341/$H$346</f>
        <v>#NAME?</v>
      </c>
      <c r="F351" s="203" t="e">
        <f aca="false">F341/$H$346</f>
        <v>#NAME?</v>
      </c>
      <c r="G351" s="203" t="e">
        <f aca="false">G341/$H$346</f>
        <v>#NAME?</v>
      </c>
      <c r="H351" s="203" t="e">
        <f aca="false">H341/$H$346</f>
        <v>#NAME?</v>
      </c>
      <c r="I351" s="203" t="e">
        <f aca="false">SUM(D351:H351)</f>
        <v>#NAME?</v>
      </c>
      <c r="J351" s="47"/>
      <c r="S351" s="0"/>
      <c r="AH351" s="201"/>
      <c r="AI351" s="201"/>
      <c r="AJ351" s="61"/>
      <c r="AK351" s="205"/>
      <c r="AL351" s="201"/>
      <c r="AM351" s="206"/>
      <c r="AN351" s="201"/>
      <c r="AO351" s="201"/>
      <c r="AP351" s="201"/>
    </row>
    <row collapsed="false" customFormat="false" customHeight="true" hidden="false" ht="11.4" outlineLevel="0" r="352">
      <c r="C352" s="198" t="s">
        <v>134</v>
      </c>
      <c r="D352" s="204" t="e">
        <f aca="false">D342/$H$347</f>
        <v>#NAME?</v>
      </c>
      <c r="E352" s="204" t="e">
        <f aca="false">E342/$H$347</f>
        <v>#NAME?</v>
      </c>
      <c r="F352" s="204" t="e">
        <f aca="false">F342/$H$347</f>
        <v>#NAME?</v>
      </c>
      <c r="G352" s="204" t="e">
        <f aca="false">G342/$H$347</f>
        <v>#NAME?</v>
      </c>
      <c r="H352" s="204" t="e">
        <f aca="false">H342/$H$347</f>
        <v>#NAME?</v>
      </c>
      <c r="I352" s="204" t="e">
        <f aca="false">SUM(D352:H352)</f>
        <v>#NAME?</v>
      </c>
      <c r="J352" s="47"/>
      <c r="AH352" s="201"/>
      <c r="AI352" s="201"/>
      <c r="AJ352" s="61"/>
      <c r="AK352" s="205"/>
      <c r="AL352" s="201"/>
      <c r="AM352" s="206"/>
      <c r="AN352" s="201"/>
      <c r="AO352" s="201"/>
      <c r="AP352" s="201"/>
    </row>
    <row collapsed="false" customFormat="false" customHeight="true" hidden="false" ht="11.4" outlineLevel="0" r="353">
      <c r="AH353" s="201"/>
      <c r="AI353" s="201"/>
      <c r="AJ353" s="61"/>
      <c r="AK353" s="205"/>
      <c r="AL353" s="201"/>
      <c r="AM353" s="206"/>
      <c r="AN353" s="201"/>
      <c r="AO353" s="201"/>
      <c r="AP353" s="201"/>
    </row>
    <row collapsed="false" customFormat="false" customHeight="true" hidden="false" ht="13.2" outlineLevel="0" r="354">
      <c r="AH354" s="201"/>
      <c r="AI354" s="201"/>
      <c r="AJ354" s="61"/>
      <c r="AK354" s="205"/>
      <c r="AL354" s="201"/>
      <c r="AM354" s="206"/>
      <c r="AN354" s="201"/>
      <c r="AO354" s="201"/>
      <c r="AP354" s="201"/>
    </row>
    <row collapsed="false" customFormat="false" customHeight="true" hidden="false" ht="15.6" outlineLevel="0" r="355">
      <c r="B355" s="41"/>
      <c r="C355" s="98" t="s">
        <v>69</v>
      </c>
      <c r="D355" s="98"/>
      <c r="E355" s="98"/>
      <c r="F355" s="98"/>
      <c r="G355" s="61"/>
      <c r="H355" s="61"/>
      <c r="I355" s="61"/>
      <c r="J355" s="61"/>
      <c r="L355" s="1"/>
      <c r="P355" s="0" t="s">
        <v>137</v>
      </c>
      <c r="AH355" s="201"/>
      <c r="AI355" s="201"/>
      <c r="AJ355" s="61"/>
      <c r="AK355" s="205"/>
      <c r="AL355" s="201"/>
      <c r="AM355" s="206"/>
      <c r="AN355" s="201"/>
      <c r="AO355" s="201"/>
      <c r="AP355" s="201"/>
    </row>
    <row collapsed="false" customFormat="false" customHeight="true" hidden="false" ht="11.4" outlineLevel="0" r="356">
      <c r="B356" s="41"/>
      <c r="C356" s="40" t="s">
        <v>130</v>
      </c>
      <c r="D356" s="40" t="n">
        <v>-4</v>
      </c>
      <c r="E356" s="40" t="n">
        <v>-3</v>
      </c>
      <c r="F356" s="40" t="n">
        <v>-2</v>
      </c>
      <c r="G356" s="40" t="n">
        <v>-1</v>
      </c>
      <c r="H356" s="40" t="n">
        <v>0</v>
      </c>
      <c r="I356" s="40" t="n">
        <v>1</v>
      </c>
      <c r="J356" s="40" t="n">
        <v>2</v>
      </c>
      <c r="K356" s="40" t="n">
        <v>3</v>
      </c>
      <c r="M356" s="40" t="s">
        <v>131</v>
      </c>
      <c r="N356" s="40" t="s">
        <v>132</v>
      </c>
      <c r="P356" s="0" t="s">
        <v>138</v>
      </c>
      <c r="Q356" s="0" t="s">
        <v>139</v>
      </c>
      <c r="AH356" s="201"/>
      <c r="AI356" s="201"/>
      <c r="AJ356" s="61"/>
      <c r="AK356" s="205"/>
      <c r="AL356" s="201"/>
      <c r="AM356" s="206"/>
      <c r="AN356" s="201"/>
      <c r="AO356" s="201"/>
      <c r="AP356" s="201"/>
    </row>
    <row collapsed="false" customFormat="false" customHeight="true" hidden="false" ht="11.4" outlineLevel="0" r="357">
      <c r="C357" s="140" t="s">
        <v>24</v>
      </c>
      <c r="D357" s="140" t="e">
        <f aca="false">COUNTIF(uwreihe_4,"T")+COUNTIF(uwreihe_4,"PT")</f>
        <v>#NAME?</v>
      </c>
      <c r="E357" s="140" t="e">
        <f aca="false">COUNTIF(uwreihe_3,"T")+COUNTIF(uwreihe_3,"PT")</f>
        <v>#NAME?</v>
      </c>
      <c r="F357" s="140" t="e">
        <f aca="false">COUNTIF(uwreihe_2,"T")+COUNTIF(uwreihe_2,"PT")</f>
        <v>#NAME?</v>
      </c>
      <c r="G357" s="140" t="e">
        <f aca="false">COUNTIF(uwreihe_1,"T")+COUNTIF(uwreihe_1,"PT")</f>
        <v>#NAME?</v>
      </c>
      <c r="H357" s="140" t="e">
        <f aca="false">COUNTIF(uwreihe0,"T")+COUNTIF(uwreihe0,"PT")</f>
        <v>#NAME?</v>
      </c>
      <c r="I357" s="140" t="e">
        <f aca="false">COUNTIF(uwreihe1,"T")+COUNTIF(uwreihe1,"PT")</f>
        <v>#NAME?</v>
      </c>
      <c r="J357" s="140" t="e">
        <f aca="false">COUNTIF(UWReihe2,"T")+COUNTIF(UWReihe2,"PT")</f>
        <v>#VALUE!</v>
      </c>
      <c r="K357" s="140" t="e">
        <f aca="false">COUNTIF(UWReihe3,"T")+COUNTIF(UWReihe3,"PT")</f>
        <v>#VALUE!</v>
      </c>
      <c r="L357" s="40" t="n">
        <v>4</v>
      </c>
      <c r="M357" s="140" t="e">
        <f aca="false">SUM(D357:L357)</f>
        <v>#NAME?</v>
      </c>
      <c r="N357" s="191" t="e">
        <f aca="false">(D357*$D$356+E357*$E$356+F357*$F$356+G357*$G$356+H357*$H$356+I357*$I$356+J357*$J$356+K357*$K$356+L358*$L$357)/M357</f>
        <v>#NAME?</v>
      </c>
      <c r="O357" s="77"/>
      <c r="P357" s="77" t="e">
        <f aca="false">M357*$L$357</f>
        <v>#NAME?</v>
      </c>
      <c r="Q357" s="77" t="e">
        <f aca="false">M357*$D$356</f>
        <v>#NAME?</v>
      </c>
      <c r="AH357" s="201"/>
      <c r="AI357" s="201"/>
      <c r="AJ357" s="61"/>
      <c r="AK357" s="205"/>
      <c r="AL357" s="201"/>
      <c r="AM357" s="206"/>
      <c r="AN357" s="201"/>
      <c r="AO357" s="201"/>
      <c r="AP357" s="201"/>
    </row>
    <row collapsed="false" customFormat="false" customHeight="true" hidden="false" ht="11.4" outlineLevel="0" r="358">
      <c r="C358" s="145" t="s">
        <v>25</v>
      </c>
      <c r="D358" s="197" t="e">
        <f aca="false">COUNTIF(uwreihe_4,"P")+COUNTIF(uwreihe_4,"PT")</f>
        <v>#NAME?</v>
      </c>
      <c r="E358" s="197" t="e">
        <f aca="false">COUNTIF(uwreihe_3,"P")+COUNTIF(uwreihe_3,"PT")</f>
        <v>#NAME?</v>
      </c>
      <c r="F358" s="197" t="e">
        <f aca="false">COUNTIF(uwreihe_2,"P")+COUNTIF(uwreihe_2,"PT")</f>
        <v>#NAME?</v>
      </c>
      <c r="G358" s="197" t="e">
        <f aca="false">COUNTIF(uwreihe_1,"P")+COUNTIF(uwreihe_1,"PT")</f>
        <v>#NAME?</v>
      </c>
      <c r="H358" s="197" t="e">
        <f aca="false">COUNTIF(uwreihe0,"P")+COUNTIF(uwreihe0,"PT")</f>
        <v>#NAME?</v>
      </c>
      <c r="I358" s="197" t="e">
        <f aca="false">COUNTIF(uwreihe1,"P")+COUNTIF(uwreihe1,"PT")</f>
        <v>#NAME?</v>
      </c>
      <c r="J358" s="197" t="e">
        <f aca="false">COUNTIF(UWReihe2,"P")+COUNTIF(UWReihe2,"PT")</f>
        <v>#VALUE!</v>
      </c>
      <c r="K358" s="197" t="e">
        <f aca="false">COUNTIF(UWReihe3,"P")+COUNTIF(UWReihe3,"PT")</f>
        <v>#VALUE!</v>
      </c>
      <c r="L358" s="140" t="e">
        <f aca="false">COUNTIF(UWReihe4,"T")+COUNTIF(UWReihe4,"PT")</f>
        <v>#VALUE!</v>
      </c>
      <c r="M358" s="145" t="e">
        <f aca="false">SUM(D358:L358)</f>
        <v>#NAME?</v>
      </c>
      <c r="N358" s="188" t="e">
        <f aca="false">(D358*$D$356+E358*$E$356+F358*$F$356+G358*$G$356+H358*$H$356+I358*$I$356+J358*$J$356+K358*$K$356+L359*$L$357)/M358</f>
        <v>#NAME?</v>
      </c>
      <c r="O358" s="77"/>
      <c r="P358" s="77" t="e">
        <f aca="false">M358*$L$357</f>
        <v>#NAME?</v>
      </c>
      <c r="Q358" s="77" t="e">
        <f aca="false">M358*$D$356</f>
        <v>#NAME?</v>
      </c>
      <c r="AH358" s="201"/>
      <c r="AI358" s="201"/>
      <c r="AJ358" s="61"/>
      <c r="AK358" s="205"/>
      <c r="AL358" s="201"/>
      <c r="AM358" s="206"/>
      <c r="AN358" s="201"/>
      <c r="AO358" s="201"/>
      <c r="AP358" s="201"/>
    </row>
    <row collapsed="false" customFormat="false" customHeight="true" hidden="false" ht="11.4" outlineLevel="0" r="359">
      <c r="C359" s="198" t="s">
        <v>134</v>
      </c>
      <c r="D359" s="199" t="e">
        <f aca="false">COUNTIF(uwreihe_4,"PT")</f>
        <v>#NAME?</v>
      </c>
      <c r="E359" s="199" t="e">
        <f aca="false">COUNTIF(uwreihe_3,"PT")</f>
        <v>#NAME?</v>
      </c>
      <c r="F359" s="199" t="e">
        <f aca="false">COUNTIF(uwreihe_2,"PT")</f>
        <v>#NAME?</v>
      </c>
      <c r="G359" s="199" t="e">
        <f aca="false">COUNTIF(uwreihe_1,"PT")</f>
        <v>#NAME?</v>
      </c>
      <c r="H359" s="199" t="e">
        <f aca="false">COUNTIF(uwreihe0,"PT")</f>
        <v>#NAME?</v>
      </c>
      <c r="I359" s="199" t="e">
        <f aca="false">COUNTIF(uwreihe1,"PT")</f>
        <v>#NAME?</v>
      </c>
      <c r="J359" s="199" t="e">
        <f aca="false">COUNTIF(UWReihe2,"PT")</f>
        <v>#VALUE!</v>
      </c>
      <c r="K359" s="199" t="e">
        <f aca="false">COUNTIF(UWReihe3,"PT")</f>
        <v>#VALUE!</v>
      </c>
      <c r="L359" s="197" t="e">
        <f aca="false">COUNTIF(UWReihe4,"P")+COUNTIF(UWReihe4,"PT")</f>
        <v>#VALUE!</v>
      </c>
      <c r="M359" s="198" t="e">
        <f aca="false">SUM(D359:L359)</f>
        <v>#NAME?</v>
      </c>
      <c r="N359" s="200" t="e">
        <f aca="false">(D359*$D$356+E359*$E$356+F359*$F$356+G359*$G$356+H359*$H$356+I359*$I$356+J359*$J$356+K359*$K$356+L360*$L$357)/M359</f>
        <v>#NAME?</v>
      </c>
      <c r="AH359" s="201"/>
      <c r="AI359" s="201"/>
      <c r="AJ359" s="61"/>
      <c r="AK359" s="205"/>
      <c r="AL359" s="201"/>
      <c r="AM359" s="211"/>
      <c r="AN359" s="201"/>
      <c r="AO359" s="201"/>
      <c r="AP359" s="201"/>
    </row>
    <row collapsed="false" customFormat="false" customHeight="true" hidden="false" ht="11.4" outlineLevel="0" r="360">
      <c r="C360" s="47"/>
      <c r="D360" s="47"/>
      <c r="E360" s="47"/>
      <c r="F360" s="47"/>
      <c r="G360" s="47"/>
      <c r="H360" s="47"/>
      <c r="I360" s="47"/>
      <c r="J360" s="47"/>
      <c r="K360" s="47"/>
      <c r="L360" s="199" t="e">
        <f aca="false">COUNTIF(UWReihe4,"PT")</f>
        <v>#VALUE!</v>
      </c>
      <c r="M360" s="140"/>
      <c r="AH360" s="201"/>
      <c r="AI360" s="201"/>
      <c r="AJ360" s="61"/>
      <c r="AK360" s="205"/>
      <c r="AL360" s="201"/>
      <c r="AM360" s="211"/>
      <c r="AN360" s="201"/>
      <c r="AO360" s="205"/>
      <c r="AP360" s="201"/>
    </row>
    <row collapsed="false" customFormat="false" customHeight="true" hidden="false" ht="11.4" outlineLevel="0" r="361">
      <c r="C361" s="40" t="s">
        <v>135</v>
      </c>
      <c r="D361" s="40" t="n">
        <v>-4</v>
      </c>
      <c r="E361" s="40" t="n">
        <v>-3</v>
      </c>
      <c r="F361" s="40" t="n">
        <v>-2</v>
      </c>
      <c r="G361" s="40" t="n">
        <v>-1</v>
      </c>
      <c r="H361" s="40" t="n">
        <v>0</v>
      </c>
      <c r="I361" s="40" t="n">
        <v>1</v>
      </c>
      <c r="J361" s="40" t="n">
        <v>2</v>
      </c>
      <c r="K361" s="40" t="n">
        <v>3</v>
      </c>
      <c r="L361" s="47"/>
      <c r="M361" s="198"/>
      <c r="AH361" s="201"/>
      <c r="AI361" s="201"/>
      <c r="AJ361" s="61"/>
      <c r="AK361" s="205"/>
      <c r="AL361" s="201"/>
      <c r="AM361" s="206"/>
      <c r="AN361" s="201"/>
      <c r="AO361" s="205"/>
      <c r="AP361" s="201"/>
    </row>
    <row collapsed="false" customFormat="false" customHeight="true" hidden="false" ht="11.4" outlineLevel="0" r="362">
      <c r="C362" s="140" t="s">
        <v>24</v>
      </c>
      <c r="D362" s="140" t="e">
        <f aca="false">D357</f>
        <v>#NAME?</v>
      </c>
      <c r="E362" s="140" t="e">
        <f aca="false">D362+E357</f>
        <v>#NAME?</v>
      </c>
      <c r="F362" s="140" t="e">
        <f aca="false">E362+F357</f>
        <v>#NAME?</v>
      </c>
      <c r="G362" s="140" t="e">
        <f aca="false">F362+G357</f>
        <v>#NAME?</v>
      </c>
      <c r="H362" s="140" t="e">
        <f aca="false">G362+H357</f>
        <v>#NAME?</v>
      </c>
      <c r="I362" s="140" t="e">
        <f aca="false">H362+I357</f>
        <v>#NAME?</v>
      </c>
      <c r="J362" s="140" t="e">
        <f aca="false">I362+J357</f>
        <v>#NAME?</v>
      </c>
      <c r="K362" s="140" t="e">
        <f aca="false">J362+K357</f>
        <v>#NAME?</v>
      </c>
      <c r="L362" s="40" t="n">
        <v>4</v>
      </c>
      <c r="M362" s="140"/>
      <c r="AH362" s="201"/>
      <c r="AI362" s="201"/>
      <c r="AJ362" s="61"/>
      <c r="AK362" s="205"/>
      <c r="AL362" s="201"/>
      <c r="AM362" s="206"/>
      <c r="AN362" s="201"/>
      <c r="AO362" s="205"/>
      <c r="AP362" s="201"/>
    </row>
    <row collapsed="false" customFormat="false" customHeight="true" hidden="false" ht="11.4" outlineLevel="0" r="363">
      <c r="C363" s="145" t="s">
        <v>25</v>
      </c>
      <c r="D363" s="145" t="e">
        <f aca="false">D358</f>
        <v>#NAME?</v>
      </c>
      <c r="E363" s="145" t="e">
        <f aca="false">D363+E358</f>
        <v>#NAME?</v>
      </c>
      <c r="F363" s="145" t="e">
        <f aca="false">E363+F358</f>
        <v>#NAME?</v>
      </c>
      <c r="G363" s="145" t="e">
        <f aca="false">F363+G358</f>
        <v>#NAME?</v>
      </c>
      <c r="H363" s="145" t="e">
        <f aca="false">G363+H358</f>
        <v>#NAME?</v>
      </c>
      <c r="I363" s="145" t="e">
        <f aca="false">H363+I358</f>
        <v>#NAME?</v>
      </c>
      <c r="J363" s="145" t="e">
        <f aca="false">I363+J358</f>
        <v>#NAME?</v>
      </c>
      <c r="K363" s="145" t="e">
        <f aca="false">J363+K358</f>
        <v>#NAME?</v>
      </c>
      <c r="L363" s="140" t="e">
        <f aca="false">K362+L358</f>
        <v>#NAME?</v>
      </c>
      <c r="M363" s="145"/>
      <c r="AH363" s="201"/>
      <c r="AI363" s="201"/>
      <c r="AJ363" s="61"/>
      <c r="AK363" s="205"/>
      <c r="AL363" s="201"/>
      <c r="AM363" s="206"/>
      <c r="AN363" s="201"/>
      <c r="AO363" s="205"/>
      <c r="AP363" s="201"/>
    </row>
    <row collapsed="false" customFormat="false" customHeight="true" hidden="false" ht="11.4" outlineLevel="0" r="364">
      <c r="C364" s="198" t="s">
        <v>134</v>
      </c>
      <c r="D364" s="198" t="e">
        <f aca="false">D359</f>
        <v>#NAME?</v>
      </c>
      <c r="E364" s="198" t="e">
        <f aca="false">D364+E359</f>
        <v>#NAME?</v>
      </c>
      <c r="F364" s="198" t="e">
        <f aca="false">E364+F359</f>
        <v>#NAME?</v>
      </c>
      <c r="G364" s="198" t="e">
        <f aca="false">F364+G359</f>
        <v>#NAME?</v>
      </c>
      <c r="H364" s="198" t="e">
        <f aca="false">G364+H359</f>
        <v>#NAME?</v>
      </c>
      <c r="I364" s="198" t="e">
        <f aca="false">H364+I359</f>
        <v>#NAME?</v>
      </c>
      <c r="J364" s="198" t="e">
        <f aca="false">I364+J359</f>
        <v>#NAME?</v>
      </c>
      <c r="K364" s="198" t="e">
        <f aca="false">J364+K359</f>
        <v>#NAME?</v>
      </c>
      <c r="L364" s="145" t="e">
        <f aca="false">K363+L359</f>
        <v>#NAME?</v>
      </c>
      <c r="M364" s="198"/>
      <c r="AH364" s="201"/>
      <c r="AI364" s="201"/>
      <c r="AJ364" s="61"/>
      <c r="AK364" s="205"/>
      <c r="AL364" s="201"/>
      <c r="AM364" s="206"/>
      <c r="AN364" s="201"/>
      <c r="AO364" s="205"/>
      <c r="AP364" s="201"/>
    </row>
    <row collapsed="false" customFormat="false" customHeight="true" hidden="false" ht="11.4" outlineLevel="0" r="365">
      <c r="C365" s="47"/>
      <c r="D365" s="47"/>
      <c r="E365" s="47"/>
      <c r="F365" s="47"/>
      <c r="G365" s="47"/>
      <c r="H365" s="47"/>
      <c r="I365" s="47"/>
      <c r="J365" s="47"/>
      <c r="K365" s="47"/>
      <c r="L365" s="198" t="e">
        <f aca="false">K364+L360</f>
        <v>#NAME?</v>
      </c>
      <c r="M365" s="145"/>
      <c r="AH365" s="201"/>
      <c r="AI365" s="201"/>
      <c r="AJ365" s="61"/>
      <c r="AK365" s="205"/>
      <c r="AL365" s="201"/>
      <c r="AM365" s="206"/>
      <c r="AN365" s="201"/>
      <c r="AO365" s="205"/>
      <c r="AP365" s="201"/>
    </row>
    <row collapsed="false" customFormat="false" customHeight="true" hidden="false" ht="11.4" outlineLevel="0" r="366">
      <c r="C366" s="40" t="s">
        <v>136</v>
      </c>
      <c r="D366" s="40" t="n">
        <v>-4</v>
      </c>
      <c r="E366" s="40" t="n">
        <v>-3</v>
      </c>
      <c r="F366" s="40" t="n">
        <v>-2</v>
      </c>
      <c r="G366" s="40" t="n">
        <v>-1</v>
      </c>
      <c r="H366" s="40" t="n">
        <v>0</v>
      </c>
      <c r="I366" s="40" t="n">
        <v>1</v>
      </c>
      <c r="J366" s="40" t="n">
        <v>2</v>
      </c>
      <c r="K366" s="40" t="n">
        <v>3</v>
      </c>
      <c r="L366" s="47"/>
      <c r="M366" s="47"/>
      <c r="AH366" s="201"/>
      <c r="AI366" s="201"/>
      <c r="AJ366" s="61"/>
      <c r="AK366" s="205"/>
      <c r="AL366" s="201"/>
      <c r="AM366" s="206"/>
      <c r="AN366" s="201"/>
      <c r="AO366" s="205"/>
      <c r="AP366" s="201"/>
    </row>
    <row collapsed="false" customFormat="false" customHeight="true" hidden="false" ht="11.4" outlineLevel="0" r="367">
      <c r="C367" s="140" t="s">
        <v>24</v>
      </c>
      <c r="D367" s="202" t="e">
        <f aca="false">D357/$L$363</f>
        <v>#NAME?</v>
      </c>
      <c r="E367" s="202" t="e">
        <f aca="false">E357/$L$363</f>
        <v>#NAME?</v>
      </c>
      <c r="F367" s="202" t="e">
        <f aca="false">F357/$L$363</f>
        <v>#NAME?</v>
      </c>
      <c r="G367" s="202" t="e">
        <f aca="false">G357/$L$363</f>
        <v>#NAME?</v>
      </c>
      <c r="H367" s="202" t="e">
        <f aca="false">H357/$L$363</f>
        <v>#NAME?</v>
      </c>
      <c r="I367" s="202" t="e">
        <f aca="false">I357/$L$363</f>
        <v>#NAME?</v>
      </c>
      <c r="J367" s="202" t="e">
        <f aca="false">J357/$L$363</f>
        <v>#VALUE!</v>
      </c>
      <c r="K367" s="202" t="e">
        <f aca="false">K357/$L$363</f>
        <v>#VALUE!</v>
      </c>
      <c r="L367" s="40" t="n">
        <v>4</v>
      </c>
      <c r="M367" s="202" t="e">
        <f aca="false">SUM(D367:L367)</f>
        <v>#NAME?</v>
      </c>
      <c r="AH367" s="201"/>
      <c r="AI367" s="201"/>
      <c r="AJ367" s="61"/>
      <c r="AK367" s="205"/>
      <c r="AL367" s="201"/>
      <c r="AM367" s="211"/>
      <c r="AN367" s="201"/>
      <c r="AO367" s="205"/>
      <c r="AP367" s="201"/>
    </row>
    <row collapsed="false" customFormat="false" customHeight="true" hidden="false" ht="11.4" outlineLevel="0" r="368">
      <c r="C368" s="145" t="s">
        <v>25</v>
      </c>
      <c r="D368" s="203" t="e">
        <f aca="false">D358/$L$364</f>
        <v>#NAME?</v>
      </c>
      <c r="E368" s="203" t="e">
        <f aca="false">E358/$L$364</f>
        <v>#NAME?</v>
      </c>
      <c r="F368" s="203" t="e">
        <f aca="false">F358/$L$364</f>
        <v>#NAME?</v>
      </c>
      <c r="G368" s="203" t="e">
        <f aca="false">G358/$L$364</f>
        <v>#NAME?</v>
      </c>
      <c r="H368" s="203" t="e">
        <f aca="false">H358/$L$364</f>
        <v>#NAME?</v>
      </c>
      <c r="I368" s="203" t="e">
        <f aca="false">I358/$L$364</f>
        <v>#NAME?</v>
      </c>
      <c r="J368" s="203" t="e">
        <f aca="false">J358/$L$364</f>
        <v>#VALUE!</v>
      </c>
      <c r="K368" s="203" t="e">
        <f aca="false">K358/$L$364</f>
        <v>#VALUE!</v>
      </c>
      <c r="L368" s="202" t="e">
        <f aca="false">L358/$L$363</f>
        <v>#VALUE!</v>
      </c>
      <c r="M368" s="203" t="e">
        <f aca="false">SUM(D368:L368)</f>
        <v>#NAME?</v>
      </c>
      <c r="AH368" s="201"/>
      <c r="AI368" s="201"/>
      <c r="AJ368" s="61"/>
      <c r="AK368" s="205"/>
      <c r="AL368" s="201"/>
      <c r="AM368" s="211"/>
      <c r="AN368" s="201"/>
      <c r="AO368" s="205"/>
      <c r="AP368" s="201"/>
    </row>
    <row collapsed="false" customFormat="false" customHeight="true" hidden="false" ht="11.4" outlineLevel="0" r="369">
      <c r="C369" s="212" t="s">
        <v>134</v>
      </c>
      <c r="D369" s="213" t="e">
        <f aca="false">D359/$L$365</f>
        <v>#NAME?</v>
      </c>
      <c r="E369" s="213" t="e">
        <f aca="false">E359/$L$365</f>
        <v>#NAME?</v>
      </c>
      <c r="F369" s="213" t="e">
        <f aca="false">F359/$L$365</f>
        <v>#NAME?</v>
      </c>
      <c r="G369" s="213" t="e">
        <f aca="false">G359/$L$365</f>
        <v>#NAME?</v>
      </c>
      <c r="H369" s="213" t="e">
        <f aca="false">H359/$L$365</f>
        <v>#NAME?</v>
      </c>
      <c r="I369" s="213" t="e">
        <f aca="false">I359/$L$365</f>
        <v>#NAME?</v>
      </c>
      <c r="J369" s="213" t="e">
        <f aca="false">J359/$L$365</f>
        <v>#VALUE!</v>
      </c>
      <c r="K369" s="213" t="e">
        <f aca="false">K359/$L$365</f>
        <v>#VALUE!</v>
      </c>
      <c r="L369" s="203" t="e">
        <f aca="false">L359/$L$364</f>
        <v>#VALUE!</v>
      </c>
      <c r="M369" s="213" t="e">
        <f aca="false">SUM(D369:L369)</f>
        <v>#NAME?</v>
      </c>
      <c r="AH369" s="201"/>
      <c r="AI369" s="201"/>
      <c r="AJ369" s="61"/>
      <c r="AK369" s="205"/>
      <c r="AL369" s="201"/>
      <c r="AM369" s="211"/>
      <c r="AN369" s="201"/>
      <c r="AO369" s="205"/>
      <c r="AP369" s="201"/>
    </row>
    <row collapsed="false" customFormat="false" customHeight="true" hidden="false" ht="11.4" outlineLevel="0" r="370">
      <c r="C370" s="214"/>
      <c r="D370" s="214"/>
      <c r="E370" s="214"/>
      <c r="F370" s="214"/>
      <c r="G370" s="214"/>
      <c r="H370" s="214"/>
      <c r="I370" s="214"/>
      <c r="J370" s="214"/>
      <c r="K370" s="214"/>
      <c r="L370" s="213" t="e">
        <f aca="false">L360/$L$365</f>
        <v>#VALUE!</v>
      </c>
      <c r="M370" s="214"/>
      <c r="AH370" s="201"/>
      <c r="AI370" s="201"/>
      <c r="AJ370" s="61"/>
      <c r="AK370" s="205"/>
      <c r="AL370" s="201"/>
      <c r="AM370" s="206"/>
      <c r="AN370" s="201"/>
      <c r="AO370" s="201"/>
      <c r="AP370" s="201"/>
    </row>
    <row collapsed="false" customFormat="false" customHeight="true" hidden="false" ht="11.4" outlineLevel="0" r="371">
      <c r="L371" s="214"/>
      <c r="AH371" s="201"/>
      <c r="AI371" s="201"/>
      <c r="AJ371" s="61"/>
      <c r="AK371" s="205"/>
      <c r="AL371" s="201"/>
      <c r="AM371" s="206"/>
      <c r="AN371" s="201"/>
      <c r="AO371" s="201"/>
      <c r="AP371" s="201"/>
    </row>
    <row collapsed="false" customFormat="false" customHeight="true" hidden="false" ht="11.4" outlineLevel="0" r="372">
      <c r="AH372" s="201"/>
      <c r="AI372" s="201"/>
      <c r="AJ372" s="61"/>
      <c r="AK372" s="205"/>
      <c r="AL372" s="201"/>
      <c r="AM372" s="206"/>
      <c r="AN372" s="201"/>
      <c r="AO372" s="201"/>
      <c r="AP372" s="201"/>
    </row>
    <row collapsed="false" customFormat="false" customHeight="true" hidden="false" ht="11.4" outlineLevel="0" r="373">
      <c r="AH373" s="201"/>
      <c r="AI373" s="201"/>
      <c r="AJ373" s="61"/>
      <c r="AK373" s="205"/>
      <c r="AL373" s="201"/>
      <c r="AM373" s="206"/>
      <c r="AN373" s="201"/>
      <c r="AO373" s="205"/>
      <c r="AP373" s="201"/>
    </row>
    <row collapsed="false" customFormat="false" customHeight="true" hidden="false" ht="11.4" outlineLevel="0" r="374">
      <c r="AH374" s="201"/>
      <c r="AI374" s="201"/>
      <c r="AJ374" s="201"/>
      <c r="AK374" s="201"/>
      <c r="AL374" s="201"/>
      <c r="AM374" s="201"/>
      <c r="AN374" s="201"/>
      <c r="AO374" s="201"/>
      <c r="AP374" s="201"/>
    </row>
    <row collapsed="false" customFormat="false" customHeight="true" hidden="false" ht="11.4" outlineLevel="0" r="375">
      <c r="AH375" s="201"/>
      <c r="AI375" s="201"/>
      <c r="AJ375" s="201"/>
      <c r="AK375" s="201"/>
      <c r="AL375" s="201"/>
      <c r="AM375" s="201"/>
      <c r="AN375" s="201"/>
      <c r="AO375" s="201"/>
      <c r="AP375" s="201"/>
    </row>
    <row collapsed="false" customFormat="false" customHeight="true" hidden="false" ht="11.4" outlineLevel="0" r="376">
      <c r="AH376" s="201"/>
      <c r="AI376" s="201"/>
      <c r="AJ376" s="201"/>
      <c r="AK376" s="201"/>
      <c r="AL376" s="201"/>
      <c r="AM376" s="201"/>
      <c r="AN376" s="201"/>
      <c r="AO376" s="201"/>
      <c r="AP376" s="201"/>
    </row>
    <row collapsed="false" customFormat="false" customHeight="true" hidden="false" ht="11.4" outlineLevel="0" r="377">
      <c r="C377" s="55" t="s">
        <v>140</v>
      </c>
      <c r="D377" s="141"/>
      <c r="E377" s="141"/>
      <c r="F377" s="141"/>
      <c r="G377" s="56"/>
      <c r="AH377" s="201"/>
      <c r="AI377" s="201"/>
      <c r="AJ377" s="201"/>
      <c r="AK377" s="201"/>
      <c r="AL377" s="201"/>
      <c r="AM377" s="201"/>
      <c r="AN377" s="201"/>
      <c r="AO377" s="201"/>
      <c r="AP377" s="201"/>
    </row>
    <row collapsed="false" customFormat="false" customHeight="true" hidden="false" ht="11.4" outlineLevel="0" r="378">
      <c r="C378" s="59"/>
      <c r="G378" s="41"/>
      <c r="H378" s="209"/>
      <c r="I378" s="215"/>
      <c r="J378" s="215"/>
      <c r="K378" s="215"/>
      <c r="M378" s="215"/>
      <c r="N378" s="215"/>
      <c r="O378" s="215"/>
      <c r="P378" s="215"/>
      <c r="Q378" s="215"/>
      <c r="AH378" s="201"/>
      <c r="AI378" s="201"/>
      <c r="AJ378" s="201"/>
      <c r="AK378" s="201"/>
      <c r="AL378" s="201"/>
      <c r="AM378" s="201"/>
      <c r="AN378" s="201"/>
      <c r="AO378" s="201"/>
      <c r="AP378" s="201"/>
    </row>
    <row collapsed="false" customFormat="false" customHeight="true" hidden="false" ht="11.4" outlineLevel="0" r="379">
      <c r="G379" s="41"/>
      <c r="H379" s="41"/>
      <c r="J379" s="41"/>
      <c r="K379" s="41"/>
      <c r="L379" s="215"/>
      <c r="M379" s="41"/>
      <c r="N379" s="41"/>
      <c r="O379" s="41"/>
      <c r="P379" s="41"/>
      <c r="Q379" s="41"/>
      <c r="AH379" s="201"/>
      <c r="AI379" s="201"/>
      <c r="AJ379" s="201"/>
      <c r="AK379" s="201"/>
      <c r="AL379" s="201"/>
      <c r="AM379" s="201"/>
      <c r="AN379" s="201"/>
      <c r="AO379" s="201"/>
      <c r="AP379" s="201"/>
    </row>
    <row collapsed="false" customFormat="false" customHeight="true" hidden="false" ht="11.4" outlineLevel="0" r="380">
      <c r="B380" s="7"/>
      <c r="C380" s="36"/>
      <c r="D380" s="37" t="s">
        <v>25</v>
      </c>
      <c r="E380" s="38" t="s">
        <v>24</v>
      </c>
      <c r="G380" s="7" t="s">
        <v>69</v>
      </c>
      <c r="H380" s="7"/>
      <c r="I380" s="37" t="s">
        <v>25</v>
      </c>
      <c r="J380" s="38" t="s">
        <v>24</v>
      </c>
      <c r="L380" s="41"/>
      <c r="M380" s="1"/>
      <c r="AH380" s="201"/>
      <c r="AI380" s="201"/>
      <c r="AJ380" s="201"/>
      <c r="AK380" s="201"/>
      <c r="AL380" s="201"/>
      <c r="AM380" s="201"/>
      <c r="AN380" s="201"/>
      <c r="AO380" s="201"/>
      <c r="AP380" s="201"/>
    </row>
    <row collapsed="false" customFormat="false" customHeight="true" hidden="false" ht="11.4" outlineLevel="0" r="381">
      <c r="B381" s="42"/>
      <c r="C381" s="43"/>
      <c r="D381" s="62" t="e">
        <f aca="false">IF(OR(="P",="PT"),0,IF(OR(="P",="PT"),1,IF(OR(="P",="PT"),2,IF(OR(="P",="PT"),3,IF(OR(="P",="PT"),4,"")))))</f>
        <v>#VALUE!</v>
      </c>
      <c r="E381" s="63" t="e">
        <f aca="false">IF(OR(="T",="PT"),0,IF(OR(="T",="PT"),1,IF(OR(="T",="PT"),2,IF(OR(="T",="PT"),3,IF(OR(="T",="PT"),4,"")))))</f>
        <v>#VALUE!</v>
      </c>
      <c r="G381" s="7"/>
      <c r="H381" s="90" t="s">
        <v>141</v>
      </c>
      <c r="I381" s="47"/>
      <c r="J381" s="47"/>
      <c r="AH381" s="201"/>
      <c r="AI381" s="201"/>
      <c r="AJ381" s="201"/>
      <c r="AK381" s="201"/>
      <c r="AL381" s="201"/>
      <c r="AM381" s="201"/>
      <c r="AN381" s="201"/>
      <c r="AO381" s="201"/>
      <c r="AP381" s="201"/>
    </row>
    <row collapsed="false" customFormat="false" customHeight="true" hidden="false" ht="11.4" outlineLevel="0" r="382">
      <c r="B382" s="42"/>
      <c r="C382" s="43"/>
      <c r="D382" s="62" t="e">
        <f aca="false">IF(OR(="P",="PT"),0,IF(OR(="P",="PT"),1,IF(OR(="P",="PT"),2,IF(OR(="P",="PT"),3,IF(OR(="P",="PT"),4,"")))))</f>
        <v>#VALUE!</v>
      </c>
      <c r="E382" s="63" t="e">
        <f aca="false">IF(OR(="T",="PT"),0,IF(OR(="T",="PT"),1,IF(OR(="T",="PT"),2,IF(OR(="T",="PT"),3,IF(OR(="T",="PT"),4,"")))))</f>
        <v>#VALUE!</v>
      </c>
      <c r="G382" s="42" t="s">
        <v>142</v>
      </c>
      <c r="H382" s="43" t="s">
        <v>143</v>
      </c>
      <c r="I382" s="47" t="e">
        <f aca="false">IF(I413="",J413,I413)</f>
        <v>#VALUE!</v>
      </c>
      <c r="J382" s="47" t="e">
        <f aca="false">IF(K413="",L414,K413)</f>
        <v>#VALUE!</v>
      </c>
      <c r="AH382" s="201"/>
      <c r="AI382" s="201"/>
      <c r="AJ382" s="65"/>
      <c r="AK382" s="201"/>
      <c r="AL382" s="201"/>
      <c r="AM382" s="201"/>
      <c r="AN382" s="201"/>
      <c r="AO382" s="201"/>
      <c r="AP382" s="201"/>
    </row>
    <row collapsed="false" customFormat="false" customHeight="true" hidden="false" ht="11.4" outlineLevel="0" r="383">
      <c r="B383" s="42"/>
      <c r="C383" s="43"/>
      <c r="D383" s="62" t="e">
        <f aca="false">IF(OR(="P",="PT"),0,IF(OR(="P",="PT"),1,IF(OR(="P",="PT"),2,IF(OR(="P",="PT"),3,IF(OR(="P",="PT"),4,"")))))</f>
        <v>#VALUE!</v>
      </c>
      <c r="E383" s="63" t="e">
        <f aca="false">IF(OR(="T",="PT"),0,IF(OR(="T",="PT"),1,IF(OR(="T",="PT"),2,IF(OR(="T",="PT"),3,IF(OR(="T",="PT"),4,"")))))</f>
        <v>#VALUE!</v>
      </c>
      <c r="G383" s="42" t="s">
        <v>144</v>
      </c>
      <c r="H383" s="91" t="s">
        <v>145</v>
      </c>
      <c r="I383" s="47" t="e">
        <f aca="false">IF(I414="",J414,I414)</f>
        <v>#VALUE!</v>
      </c>
      <c r="J383" s="47" t="e">
        <f aca="false">IF(K414="",L415,K414)</f>
        <v>#VALUE!</v>
      </c>
      <c r="AH383" s="201"/>
      <c r="AI383" s="201"/>
      <c r="AJ383" s="201"/>
      <c r="AK383" s="201"/>
      <c r="AL383" s="201"/>
      <c r="AM383" s="201"/>
      <c r="AN383" s="201"/>
      <c r="AO383" s="201"/>
      <c r="AP383" s="201"/>
    </row>
    <row collapsed="false" customFormat="false" customHeight="true" hidden="false" ht="13.2" outlineLevel="0" r="384">
      <c r="B384" s="42"/>
      <c r="C384" s="43"/>
      <c r="D384" s="62" t="e">
        <f aca="false">IF(OR(="P",="PT"),0,IF(OR(="P",="PT"),1,IF(OR(="P",="PT"),2,IF(OR(="P",="PT"),3,IF(OR(="P",="PT"),4,"")))))</f>
        <v>#VALUE!</v>
      </c>
      <c r="E384" s="63" t="e">
        <f aca="false">IF(OR(="T",="PT"),0,IF(OR(="T",="PT"),1,IF(OR(="T",="PT"),2,IF(OR(="T",="PT"),3,IF(OR(="T",="PT"),4,"")))))</f>
        <v>#VALUE!</v>
      </c>
      <c r="G384" s="42"/>
      <c r="H384" s="90" t="s">
        <v>146</v>
      </c>
      <c r="I384" s="47" t="e">
        <f aca="false">IF(I415="",J415,I415)</f>
        <v>#VALUE!</v>
      </c>
      <c r="J384" s="47" t="e">
        <f aca="false">IF(K415="",L416,K415)</f>
        <v>#VALUE!</v>
      </c>
    </row>
    <row collapsed="false" customFormat="false" customHeight="true" hidden="false" ht="15.6" outlineLevel="0" r="385">
      <c r="B385" s="42"/>
      <c r="C385" s="43"/>
      <c r="D385" s="62" t="e">
        <f aca="false">IF(OR(="P",="PT"),0,IF(OR(="P",="PT"),1,IF(OR(="P",="PT"),2,IF(OR(="P",="PT"),3,IF(OR(="P",="PT"),4,"")))))</f>
        <v>#VALUE!</v>
      </c>
      <c r="E385" s="63" t="e">
        <f aca="false">IF(OR(="T",="PT"),0,IF(OR(="T",="PT"),1,IF(OR(="T",="PT"),2,IF(OR(="T",="PT"),3,IF(OR(="T",="PT"),4,"")))))</f>
        <v>#VALUE!</v>
      </c>
      <c r="G385" s="42" t="s">
        <v>147</v>
      </c>
      <c r="H385" s="43" t="s">
        <v>148</v>
      </c>
      <c r="I385" s="47" t="e">
        <f aca="false">IF(I416="",J416,I416)</f>
        <v>#VALUE!</v>
      </c>
      <c r="J385" s="47" t="e">
        <f aca="false">IF(K416="",L417,K416)</f>
        <v>#VALUE!</v>
      </c>
      <c r="P385" s="1"/>
    </row>
    <row collapsed="false" customFormat="false" customHeight="true" hidden="false" ht="11.4" outlineLevel="0" r="386">
      <c r="B386" s="42"/>
      <c r="C386" s="43"/>
      <c r="D386" s="62" t="e">
        <f aca="false">IF(OR(="P",="PT"),0,IF(OR(="P",="PT"),1,IF(OR(="P",="PT"),2,IF(OR(="P",="PT"),3,IF(OR(="P",="PT"),4,"")))))</f>
        <v>#VALUE!</v>
      </c>
      <c r="E386" s="63" t="e">
        <f aca="false">IF(OR(="T",="PT"),0,IF(OR(="T",="PT"),1,IF(OR(="T",="PT"),2,IF(OR(="T",="PT"),3,IF(OR(="T",="PT"),4,"")))))</f>
        <v>#VALUE!</v>
      </c>
      <c r="G386" s="42" t="s">
        <v>149</v>
      </c>
      <c r="H386" s="43" t="s">
        <v>150</v>
      </c>
      <c r="I386" s="47" t="e">
        <f aca="false">IF(I417="",J417,I417)</f>
        <v>#VALUE!</v>
      </c>
      <c r="J386" s="47" t="e">
        <f aca="false">IF(K417="",L418,K417)</f>
        <v>#VALUE!</v>
      </c>
    </row>
    <row collapsed="false" customFormat="false" customHeight="true" hidden="false" ht="11.4" outlineLevel="0" r="387">
      <c r="B387" s="42"/>
      <c r="C387" s="43"/>
      <c r="D387" s="62" t="e">
        <f aca="false">IF(OR(="P",="PT"),0,IF(OR(="P",="PT"),1,IF(OR(="P",="PT"),2,IF(OR(="P",="PT"),3,IF(OR(="P",="PT"),4,"")))))</f>
        <v>#VALUE!</v>
      </c>
      <c r="E387" s="63" t="e">
        <f aca="false">IF(OR(="T",="PT"),0,IF(OR(="T",="PT"),1,IF(OR(="T",="PT"),2,IF(OR(="T",="PT"),3,IF(OR(="T",="PT"),4,"")))))</f>
        <v>#VALUE!</v>
      </c>
      <c r="G387" s="42" t="s">
        <v>151</v>
      </c>
      <c r="H387" s="43" t="s">
        <v>152</v>
      </c>
      <c r="I387" s="47" t="e">
        <f aca="false">IF(I418="",J418,I418)</f>
        <v>#VALUE!</v>
      </c>
      <c r="J387" s="47" t="e">
        <f aca="false">IF(K418="",L419,K418)</f>
        <v>#VALUE!</v>
      </c>
    </row>
    <row collapsed="false" customFormat="false" customHeight="true" hidden="false" ht="11.4" outlineLevel="0" r="388">
      <c r="B388" s="42"/>
      <c r="C388" s="43"/>
      <c r="D388" s="62" t="e">
        <f aca="false">IF(OR(="P",="PT"),0,IF(OR(="P",="PT"),1,IF(OR(="P",="PT"),2,IF(OR(="P",="PT"),3,IF(OR(="P",="PT"),4,"")))))</f>
        <v>#VALUE!</v>
      </c>
      <c r="E388" s="63" t="e">
        <f aca="false">IF(OR(="T",="PT"),0,IF(OR(="T",="PT"),1,IF(OR(="T",="PT"),2,IF(OR(="T",="PT"),3,IF(OR(="T",="PT"),4,"")))))</f>
        <v>#VALUE!</v>
      </c>
      <c r="G388" s="42" t="s">
        <v>153</v>
      </c>
      <c r="H388" s="43" t="s">
        <v>154</v>
      </c>
      <c r="I388" s="47" t="e">
        <f aca="false">IF(I419="",J419,I419)</f>
        <v>#VALUE!</v>
      </c>
      <c r="J388" s="47" t="e">
        <f aca="false">IF(K419="",L420,K419)</f>
        <v>#VALUE!</v>
      </c>
    </row>
    <row collapsed="false" customFormat="false" customHeight="true" hidden="false" ht="11.4" outlineLevel="0" r="389">
      <c r="B389" s="42"/>
      <c r="C389" s="43"/>
      <c r="D389" s="62" t="e">
        <f aca="false">IF(OR(="P",="PT"),0,IF(OR(="P",="PT"),1,IF(OR(="P",="PT"),2,IF(OR(="P",="PT"),3,IF(OR(="P",="PT"),4,"")))))</f>
        <v>#VALUE!</v>
      </c>
      <c r="E389" s="63" t="e">
        <f aca="false">IF(OR(="T",="PT"),0,IF(OR(="T",="PT"),1,IF(OR(="T",="PT"),2,IF(OR(="T",="PT"),3,IF(OR(="T",="PT"),4,"")))))</f>
        <v>#VALUE!</v>
      </c>
      <c r="G389" s="42" t="s">
        <v>155</v>
      </c>
      <c r="H389" s="43" t="s">
        <v>156</v>
      </c>
      <c r="I389" s="47" t="e">
        <f aca="false">IF(I420="",J420,I420)</f>
        <v>#VALUE!</v>
      </c>
      <c r="J389" s="47" t="e">
        <f aca="false">IF(K420="",L421,K420)</f>
        <v>#VALUE!</v>
      </c>
    </row>
    <row collapsed="false" customFormat="false" customHeight="true" hidden="false" ht="12" outlineLevel="0" r="390">
      <c r="B390" s="42"/>
      <c r="C390" s="43"/>
      <c r="D390" s="62" t="e">
        <f aca="false">IF(OR(="P",="PT"),0,IF(OR(="P",="PT"),1,IF(OR(="P",="PT"),2,IF(OR(="P",="PT"),3,IF(OR(="P",="PT"),4,"")))))</f>
        <v>#VALUE!</v>
      </c>
      <c r="E390" s="63" t="e">
        <f aca="false">IF(OR(="T",="PT"),0,IF(OR(="T",="PT"),1,IF(OR(="T",="PT"),2,IF(OR(="T",="PT"),3,IF(OR(="T",="PT"),4,"")))))</f>
        <v>#VALUE!</v>
      </c>
      <c r="G390" s="42" t="s">
        <v>157</v>
      </c>
      <c r="H390" s="43" t="s">
        <v>158</v>
      </c>
      <c r="I390" s="47" t="e">
        <f aca="false">IF(I421="",J421,I421)</f>
        <v>#VALUE!</v>
      </c>
      <c r="J390" s="47" t="e">
        <f aca="false">IF(K421="",L422,K421)</f>
        <v>#VALUE!</v>
      </c>
      <c r="S390" s="0"/>
    </row>
    <row collapsed="false" customFormat="false" customHeight="true" hidden="false" ht="11.4" outlineLevel="0" r="391">
      <c r="B391" s="42"/>
      <c r="C391" s="43"/>
      <c r="D391" s="62" t="e">
        <f aca="false">IF(OR(="P",="PT"),0,IF(OR(="P",="PT"),1,IF(OR(="P",="PT"),2,IF(OR(="P",="PT"),3,IF(OR(="P",="PT"),4,"")))))</f>
        <v>#VALUE!</v>
      </c>
      <c r="E391" s="63" t="e">
        <f aca="false">IF(OR(="T",="PT"),0,IF(OR(="T",="PT"),1,IF(OR(="T",="PT"),2,IF(OR(="T",="PT"),3,IF(OR(="T",="PT"),4,"")))))</f>
        <v>#VALUE!</v>
      </c>
      <c r="G391" s="42" t="s">
        <v>159</v>
      </c>
      <c r="H391" s="43" t="s">
        <v>160</v>
      </c>
      <c r="I391" s="47" t="e">
        <f aca="false">IF(I422="",J422,I422)</f>
        <v>#VALUE!</v>
      </c>
      <c r="J391" s="47" t="e">
        <f aca="false">IF(K422="",L423,K422)</f>
        <v>#VALUE!</v>
      </c>
      <c r="S391" s="0"/>
    </row>
    <row collapsed="false" customFormat="false" customHeight="true" hidden="false" ht="11.4" outlineLevel="0" r="392">
      <c r="B392" s="42"/>
      <c r="C392" s="43"/>
      <c r="D392" s="62" t="e">
        <f aca="false">IF(OR(="P",="PT"),0,IF(OR(="P",="PT"),1,IF(OR(="P",="PT"),2,IF(OR(="P",="PT"),3,IF(OR(="P",="PT"),4,"")))))</f>
        <v>#VALUE!</v>
      </c>
      <c r="E392" s="63" t="e">
        <f aca="false">IF(OR(="T",="PT"),0,IF(OR(="T",="PT"),1,IF(OR(="T",="PT"),2,IF(OR(="T",="PT"),3,IF(OR(="T",="PT"),4,"")))))</f>
        <v>#VALUE!</v>
      </c>
      <c r="G392" s="42" t="s">
        <v>161</v>
      </c>
      <c r="H392" s="43" t="s">
        <v>162</v>
      </c>
      <c r="I392" s="47" t="e">
        <f aca="false">IF(I423="",J423,I423)</f>
        <v>#VALUE!</v>
      </c>
      <c r="J392" s="47" t="e">
        <f aca="false">IF(K423="",L424,K423)</f>
        <v>#VALUE!</v>
      </c>
      <c r="R392" s="41"/>
    </row>
    <row collapsed="false" customFormat="false" customHeight="true" hidden="false" ht="13.2" outlineLevel="0" r="393">
      <c r="B393" s="7"/>
      <c r="C393" s="7"/>
      <c r="D393" s="62" t="e">
        <f aca="false">IF(OR(="P",="PT"),0,IF(OR(="P",="PT"),1,IF(OR(="P",="PT"),2,IF(OR(="P",="PT"),3,IF(OR(="P",="PT"),4,"")))))</f>
        <v>#VALUE!</v>
      </c>
      <c r="E393" s="63" t="e">
        <f aca="false">IF(OR(="T",="PT"),0,IF(OR(="T",="PT"),1,IF(OR(="T",="PT"),2,IF(OR(="T",="PT"),3,IF(OR(="T",="PT"),4,"")))))</f>
        <v>#VALUE!</v>
      </c>
      <c r="G393" s="42" t="s">
        <v>163</v>
      </c>
      <c r="H393" s="43" t="s">
        <v>164</v>
      </c>
      <c r="I393" s="47" t="e">
        <f aca="false">IF(I424="",J424,I424)</f>
        <v>#VALUE!</v>
      </c>
      <c r="J393" s="47" t="e">
        <f aca="false">IF(K424="",L425,K424)</f>
        <v>#VALUE!</v>
      </c>
      <c r="R393" s="41"/>
    </row>
    <row collapsed="false" customFormat="false" customHeight="true" hidden="false" ht="13.2" outlineLevel="0" r="394">
      <c r="B394" s="42"/>
      <c r="C394" s="43"/>
      <c r="D394" s="62" t="e">
        <f aca="false">IF(OR(="P",="PT"),0,IF(OR(="P",="PT"),1,IF(OR(="P",="PT"),2,IF(OR(="P",="PT"),3,IF(OR(="P",="PT"),4,"")))))</f>
        <v>#VALUE!</v>
      </c>
      <c r="E394" s="63" t="e">
        <f aca="false">IF(OR(="T",="PT"),0,IF(OR(="T",="PT"),1,IF(OR(="T",="PT"),2,IF(OR(="T",="PT"),3,IF(OR(="T",="PT"),4,"")))))</f>
        <v>#VALUE!</v>
      </c>
      <c r="G394" s="42" t="s">
        <v>165</v>
      </c>
      <c r="H394" s="43" t="s">
        <v>166</v>
      </c>
      <c r="I394" s="47" t="e">
        <f aca="false">IF(I425="",J425,I425)</f>
        <v>#VALUE!</v>
      </c>
      <c r="J394" s="47" t="e">
        <f aca="false">IF(K425="",L426,K425)</f>
        <v>#VALUE!</v>
      </c>
      <c r="R394" s="41"/>
    </row>
    <row collapsed="false" customFormat="false" customHeight="true" hidden="false" ht="11.4" outlineLevel="0" r="395">
      <c r="B395" s="42"/>
      <c r="C395" s="43"/>
      <c r="D395" s="62" t="e">
        <f aca="false">IF(OR(="P",="PT"),0,IF(OR(="P",="PT"),1,IF(OR(="P",="PT"),2,IF(OR(="P",="PT"),3,IF(OR(="P",="PT"),4,"")))))</f>
        <v>#VALUE!</v>
      </c>
      <c r="E395" s="63" t="e">
        <f aca="false">IF(OR(="T",="PT"),0,IF(OR(="T",="PT"),1,IF(OR(="T",="PT"),2,IF(OR(="T",="PT"),3,IF(OR(="T",="PT"),4,"")))))</f>
        <v>#VALUE!</v>
      </c>
      <c r="G395" s="42"/>
      <c r="H395" s="90" t="s">
        <v>167</v>
      </c>
      <c r="I395" s="47" t="e">
        <f aca="false">IF(I426="",J426,I426)</f>
        <v>#VALUE!</v>
      </c>
      <c r="J395" s="47" t="e">
        <f aca="false">IF(K426="",L427,K426)</f>
        <v>#VALUE!</v>
      </c>
      <c r="R395" s="41"/>
    </row>
    <row collapsed="false" customFormat="false" customHeight="true" hidden="false" ht="11.4" outlineLevel="0" r="396">
      <c r="B396" s="42"/>
      <c r="C396" s="43"/>
      <c r="D396" s="62" t="e">
        <f aca="false">IF(OR(="P",="PT"),0,IF(OR(="P",="PT"),1,IF(OR(="P",="PT"),2,IF(OR(="P",="PT"),3,IF(OR(="P",="PT"),4,"")))))</f>
        <v>#VALUE!</v>
      </c>
      <c r="E396" s="63" t="e">
        <f aca="false">IF(OR(="T",="PT"),0,IF(OR(="T",="PT"),1,IF(OR(="T",="PT"),2,IF(OR(="T",="PT"),3,IF(OR(="T",="PT"),4,"")))))</f>
        <v>#VALUE!</v>
      </c>
      <c r="G396" s="42" t="s">
        <v>168</v>
      </c>
      <c r="H396" s="43" t="s">
        <v>169</v>
      </c>
      <c r="I396" s="47" t="e">
        <f aca="false">IF(I427="",J427,I427)</f>
        <v>#VALUE!</v>
      </c>
      <c r="J396" s="47" t="e">
        <f aca="false">IF(K427="",L428,K427)</f>
        <v>#VALUE!</v>
      </c>
      <c r="R396" s="41"/>
    </row>
    <row collapsed="false" customFormat="false" customHeight="true" hidden="false" ht="11.4" outlineLevel="0" r="397">
      <c r="B397" s="42"/>
      <c r="C397" s="43"/>
      <c r="D397" s="62" t="e">
        <f aca="false">IF(OR(="P",="PT"),0,IF(OR(="P",="PT"),1,IF(OR(="P",="PT"),2,IF(OR(="P",="PT"),3,IF(OR(="P",="PT"),4,"")))))</f>
        <v>#VALUE!</v>
      </c>
      <c r="E397" s="63" t="e">
        <f aca="false">IF(OR(="T",="PT"),0,IF(OR(="T",="PT"),1,IF(OR(="T",="PT"),2,IF(OR(="T",="PT"),3,IF(OR(="T",="PT"),4,"")))))</f>
        <v>#VALUE!</v>
      </c>
      <c r="R397" s="41"/>
    </row>
    <row collapsed="false" customFormat="false" customHeight="true" hidden="false" ht="13.2" outlineLevel="0" r="398">
      <c r="B398" s="42"/>
      <c r="C398" s="43"/>
      <c r="D398" s="62" t="e">
        <f aca="false">IF(OR(="P",="PT"),0,IF(OR(="P",="PT"),1,IF(OR(="P",="PT"),2,IF(OR(="P",="PT"),3,IF(OR(="P",="PT"),4,"")))))</f>
        <v>#VALUE!</v>
      </c>
      <c r="E398" s="63" t="e">
        <f aca="false">IF(OR(="T",="PT"),0,IF(OR(="T",="PT"),1,IF(OR(="T",="PT"),2,IF(OR(="T",="PT"),3,IF(OR(="T",="PT"),4,"")))))</f>
        <v>#VALUE!</v>
      </c>
      <c r="H398" s="92" t="s">
        <v>170</v>
      </c>
      <c r="I398" s="47" t="n">
        <f aca="false">COUNT(I381:I396)</f>
        <v>0</v>
      </c>
      <c r="J398" s="47" t="n">
        <f aca="false">COUNT(J381:J396)</f>
        <v>0</v>
      </c>
      <c r="R398" s="41"/>
    </row>
    <row collapsed="false" customFormat="false" customHeight="true" hidden="false" ht="11.4" outlineLevel="0" r="399">
      <c r="B399" s="7"/>
      <c r="C399" s="216"/>
      <c r="D399" s="62" t="e">
        <f aca="false">IF(OR(="P",="PT"),0,IF(OR(="P",="PT"),1,IF(OR(="P",="PT"),2,IF(OR(="P",="PT"),3,IF(OR(="P",="PT"),4,"")))))</f>
        <v>#VALUE!</v>
      </c>
      <c r="E399" s="63" t="e">
        <f aca="false">IF(OR(="T",="PT"),0,IF(OR(="T",="PT"),1,IF(OR(="T",="PT"),2,IF(OR(="T",="PT"),3,IF(OR(="T",="PT"),4,"")))))</f>
        <v>#VALUE!</v>
      </c>
      <c r="R399" s="41"/>
    </row>
    <row collapsed="false" customFormat="false" customHeight="true" hidden="false" ht="13.2" outlineLevel="0" r="400">
      <c r="B400" s="42"/>
      <c r="C400" s="43"/>
      <c r="D400" s="62" t="e">
        <f aca="false">IF(OR(="P",="PT"),0,IF(OR(="P",="PT"),1,IF(OR(="P",="PT"),2,IF(OR(="P",="PT"),3,IF(OR(="P",="PT"),4,"")))))</f>
        <v>#VALUE!</v>
      </c>
      <c r="E400" s="63" t="e">
        <f aca="false">IF(OR(="T",="PT"),0,IF(OR(="T",="PT"),1,IF(OR(="T",="PT"),2,IF(OR(="T",="PT"),3,IF(OR(="T",="PT"),4,"")))))</f>
        <v>#VALUE!</v>
      </c>
      <c r="H400" s="71" t="s">
        <v>171</v>
      </c>
      <c r="I400" s="93" t="s">
        <v>64</v>
      </c>
      <c r="J400" s="47" t="n">
        <f aca="false">COUNT(D540:E554)/2</f>
        <v>0</v>
      </c>
      <c r="R400" s="41"/>
    </row>
    <row collapsed="false" customFormat="false" customHeight="true" hidden="false" ht="11.4" outlineLevel="0" r="401">
      <c r="B401" s="42"/>
      <c r="C401" s="43"/>
      <c r="D401" s="62" t="e">
        <f aca="false">IF(OR(="P",="PT"),0,IF(OR(="P",="PT"),1,IF(OR(="P",="PT"),2,IF(OR(="P",="PT"),3,IF(OR(="P",="PT"),4,"")))))</f>
        <v>#VALUE!</v>
      </c>
      <c r="E401" s="63" t="e">
        <f aca="false">IF(OR(="T",="PT"),0,IF(OR(="T",="PT"),1,IF(OR(="T",="PT"),2,IF(OR(="T",="PT"),3,IF(OR(="T",="PT"),4,"")))))</f>
        <v>#VALUE!</v>
      </c>
      <c r="R401" s="41"/>
    </row>
    <row collapsed="false" customFormat="false" customHeight="true" hidden="false" ht="11.4" outlineLevel="0" r="402">
      <c r="B402" s="42"/>
      <c r="C402" s="43"/>
      <c r="D402" s="62" t="e">
        <f aca="false">IF(OR(="P",="PT"),0,IF(OR(="P",="PT"),1,IF(OR(="P",="PT"),2,IF(OR(="P",="PT"),3,IF(OR(="P",="PT"),4,"")))))</f>
        <v>#VALUE!</v>
      </c>
      <c r="E402" s="63" t="e">
        <f aca="false">IF(OR(="T",="PT"),0,IF(OR(="T",="PT"),1,IF(OR(="T",="PT"),2,IF(OR(="T",="PT"),3,IF(OR(="T",="PT"),4,"")))))</f>
        <v>#VALUE!</v>
      </c>
      <c r="R402" s="41"/>
    </row>
    <row collapsed="false" customFormat="false" customHeight="true" hidden="false" ht="11.4" outlineLevel="0" r="403">
      <c r="B403" s="42"/>
      <c r="C403" s="43"/>
      <c r="D403" s="62" t="e">
        <f aca="false">IF(OR(="P",="PT"),0,IF(OR(="P",="PT"),1,IF(OR(="P",="PT"),2,IF(OR(="P",="PT"),3,IF(OR(="P",="PT"),4,"")))))</f>
        <v>#VALUE!</v>
      </c>
      <c r="E403" s="63" t="e">
        <f aca="false">IF(OR(="T",="PT"),0,IF(OR(="T",="PT"),1,IF(OR(="T",="PT"),2,IF(OR(="T",="PT"),3,IF(OR(="T",="PT"),4,"")))))</f>
        <v>#VALUE!</v>
      </c>
      <c r="R403" s="41"/>
    </row>
    <row collapsed="false" customFormat="false" customHeight="true" hidden="false" ht="13.2" outlineLevel="0" r="404">
      <c r="B404" s="42"/>
      <c r="C404" s="43"/>
      <c r="D404" s="62" t="e">
        <f aca="false">IF(OR(="P",="PT"),0,IF(OR(="P",="PT"),1,IF(OR(="P",="PT"),2,IF(OR(="P",="PT"),3,IF(OR(="P",="PT"),4,"")))))</f>
        <v>#VALUE!</v>
      </c>
      <c r="E404" s="63" t="e">
        <f aca="false">IF(OR(="T",="PT"),0,IF(OR(="T",="PT"),1,IF(OR(="T",="PT"),2,IF(OR(="T",="PT"),3,IF(OR(="T",="PT"),4,"")))))</f>
        <v>#VALUE!</v>
      </c>
      <c r="R404" s="41"/>
    </row>
    <row collapsed="false" customFormat="false" customHeight="true" hidden="false" ht="11.4" outlineLevel="0" r="405">
      <c r="B405" s="42"/>
      <c r="C405" s="43"/>
      <c r="D405" s="62" t="e">
        <f aca="false">IF(OR(="P",="PT"),0,IF(OR(="P",="PT"),1,IF(OR(="P",="PT"),2,IF(OR(="P",="PT"),3,IF(OR(="P",="PT"),4,"")))))</f>
        <v>#VALUE!</v>
      </c>
      <c r="E405" s="63" t="e">
        <f aca="false">IF(OR(="T",="PT"),0,IF(OR(="T",="PT"),1,IF(OR(="T",="PT"),2,IF(OR(="T",="PT"),3,IF(OR(="T",="PT"),4,"")))))</f>
        <v>#VALUE!</v>
      </c>
      <c r="R405" s="41"/>
    </row>
    <row collapsed="false" customFormat="false" customHeight="true" hidden="false" ht="11.4" outlineLevel="0" r="406">
      <c r="B406" s="42"/>
      <c r="C406" s="43"/>
      <c r="D406" s="62" t="e">
        <f aca="false">IF(OR(="P",="PT"),0,IF(OR(="P",="PT"),1,IF(OR(="P",="PT"),2,IF(OR(="P",="PT"),3,IF(OR(="P",="PT"),4,"")))))</f>
        <v>#VALUE!</v>
      </c>
      <c r="E406" s="63" t="e">
        <f aca="false">IF(OR(="T",="PT"),0,IF(OR(="T",="PT"),1,IF(OR(="T",="PT"),2,IF(OR(="T",="PT"),3,IF(OR(="T",="PT"),4,"")))))</f>
        <v>#VALUE!</v>
      </c>
      <c r="R406" s="41"/>
    </row>
    <row collapsed="false" customFormat="false" customHeight="true" hidden="false" ht="11.4" outlineLevel="0" r="407">
      <c r="B407" s="42"/>
      <c r="C407" s="43"/>
      <c r="D407" s="62" t="e">
        <f aca="false">IF(OR(="P",="PT"),0,IF(OR(="P",="PT"),1,IF(OR(="P",="PT"),2,IF(OR(="P",="PT"),3,IF(OR(="P",="PT"),4,"")))))</f>
        <v>#VALUE!</v>
      </c>
      <c r="E407" s="63" t="e">
        <f aca="false">IF(OR(="T",="PT"),0,IF(OR(="T",="PT"),1,IF(OR(="T",="PT"),2,IF(OR(="T",="PT"),3,IF(OR(="T",="PT"),4,"")))))</f>
        <v>#VALUE!</v>
      </c>
      <c r="R407" s="41"/>
    </row>
    <row collapsed="false" customFormat="false" customHeight="true" hidden="false" ht="11.4" outlineLevel="0" r="408">
      <c r="B408" s="42"/>
      <c r="C408" s="42"/>
      <c r="D408" s="62" t="e">
        <f aca="false">IF(OR(="P",="PT"),0,IF(OR(="P",="PT"),1,IF(OR(="P",="PT"),2,IF(OR(="P",="PT"),3,IF(OR(="P",="PT"),4,"")))))</f>
        <v>#VALUE!</v>
      </c>
      <c r="E408" s="63" t="e">
        <f aca="false">IF(OR(="T",="PT"),0,IF(OR(="T",="PT"),1,IF(OR(="T",="PT"),2,IF(OR(="T",="PT"),3,IF(OR(="T",="PT"),4,"")))))</f>
        <v>#VALUE!</v>
      </c>
      <c r="R408" s="41"/>
    </row>
    <row collapsed="false" customFormat="false" customHeight="true" hidden="false" ht="11.4" outlineLevel="0" r="409">
      <c r="B409" s="42"/>
      <c r="C409" s="43"/>
      <c r="D409" s="62" t="e">
        <f aca="false">IF(OR(="P",="PT"),0,IF(OR(="P",="PT"),1,IF(OR(="P",="PT"),2,IF(OR(="P",="PT"),3,IF(OR(="P",="PT"),4,"")))))</f>
        <v>#VALUE!</v>
      </c>
      <c r="E409" s="63" t="e">
        <f aca="false">IF(OR(="T",="PT"),0,IF(OR(="T",="PT"),1,IF(OR(="T",="PT"),2,IF(OR(="T",="PT"),3,IF(OR(="T",="PT"),4,"")))))</f>
        <v>#VALUE!</v>
      </c>
      <c r="R409" s="41"/>
    </row>
    <row collapsed="false" customFormat="false" customHeight="true" hidden="false" ht="11.4" outlineLevel="0" r="410">
      <c r="B410" s="7"/>
      <c r="C410" s="7"/>
      <c r="D410" s="85"/>
      <c r="E410" s="86"/>
      <c r="H410" s="59" t="s">
        <v>172</v>
      </c>
      <c r="R410" s="41"/>
    </row>
    <row collapsed="false" customFormat="false" customHeight="true" hidden="false" ht="11.4" outlineLevel="0" r="411">
      <c r="B411" s="42"/>
      <c r="C411" s="43"/>
      <c r="D411" s="62" t="e">
        <f aca="false">IF(OR(="P",="PT"),0,IF(OR(="P",="PT"),1,IF(OR(="P",="PT"),2,IF(OR(="P",="PT"),3,IF(OR(="P",="PT"),4,"")))))</f>
        <v>#VALUE!</v>
      </c>
      <c r="E411" s="63" t="e">
        <f aca="false">IF(OR(="T",="PT"),0,IF(OR(="T",="PT"),1,IF(OR(="T",="PT"),2,IF(OR(="T",="PT"),3,IF(OR(="T",="PT"),4,"")))))</f>
        <v>#VALUE!</v>
      </c>
      <c r="G411" s="7" t="s">
        <v>69</v>
      </c>
      <c r="H411" s="7"/>
      <c r="I411" s="59" t="s">
        <v>138</v>
      </c>
      <c r="J411" s="59" t="s">
        <v>173</v>
      </c>
      <c r="K411" s="174" t="s">
        <v>174</v>
      </c>
      <c r="R411" s="41"/>
    </row>
    <row collapsed="false" customFormat="false" customHeight="true" hidden="false" ht="11.4" outlineLevel="0" r="412">
      <c r="B412" s="42"/>
      <c r="C412" s="43"/>
      <c r="D412" s="62" t="e">
        <f aca="false">IF(OR(="P",="PT"),0,IF(OR(="P",="PT"),1,IF(OR(="P",="PT"),2,IF(OR(="P",="PT"),3,IF(OR(="P",="PT"),4,"")))))</f>
        <v>#VALUE!</v>
      </c>
      <c r="E412" s="63" t="e">
        <f aca="false">IF(OR(="T",="PT"),0,IF(OR(="T",="PT"),1,IF(OR(="T",="PT"),2,IF(OR(="T",="PT"),3,IF(OR(="T",="PT"),4,"")))))</f>
        <v>#VALUE!</v>
      </c>
      <c r="G412" s="7"/>
      <c r="H412" s="90" t="s">
        <v>141</v>
      </c>
      <c r="L412" s="174" t="s">
        <v>173</v>
      </c>
      <c r="R412" s="41"/>
    </row>
    <row collapsed="false" customFormat="false" customHeight="true" hidden="false" ht="11.4" outlineLevel="0" r="413">
      <c r="B413" s="42"/>
      <c r="C413" s="43"/>
      <c r="D413" s="62" t="e">
        <f aca="false">IF(OR(="P",="PT"),0,IF(OR(="P",="PT"),1,IF(OR(="P",="PT"),2,IF(OR(="P",="PT"),3,IF(OR(="P",="PT"),4,"")))))</f>
        <v>#VALUE!</v>
      </c>
      <c r="E413" s="63" t="e">
        <f aca="false">IF(OR(="T",="PT"),0,IF(OR(="T",="PT"),1,IF(OR(="T",="PT"),2,IF(OR(="T",="PT"),3,IF(OR(="T",="PT"),4,"")))))</f>
        <v>#VALUE!</v>
      </c>
      <c r="G413" s="42" t="s">
        <v>142</v>
      </c>
      <c r="H413" s="43" t="s">
        <v>143</v>
      </c>
      <c r="I413" s="62" t="e">
        <f aca="false">IF(OR(="P",="PT"),0,IF(OR(="P",="PT"),1,IF(OR(="P",="PT"),2,IF(OR(="P",="PT"),3,IF(OR(="P",="PT"),4,"")))))</f>
        <v>#VALUE!</v>
      </c>
      <c r="J413" s="62" t="e">
        <f aca="false">IF(OR(="P",="PT"),-4,IF(OR(="P",="PT"),-3,IF(OR(="P",="PT"),-2,IF(OR(="P",="PT"),-1,IF(OR(="P",="PT"),0,"")))))</f>
        <v>#VALUE!</v>
      </c>
      <c r="K413" s="217" t="e">
        <f aca="false">IF(OR(="T",="PT"),0,IF(OR(="T",="PT"),1,IF(OR(="T",="PT"),2,IF(OR(="T",="PT"),3,IF(OR(="T",="PT"),4,"")))))</f>
        <v>#VALUE!</v>
      </c>
      <c r="R413" s="41"/>
    </row>
    <row collapsed="false" customFormat="false" customHeight="true" hidden="false" ht="11.4" outlineLevel="0" r="414">
      <c r="B414" s="42"/>
      <c r="C414" s="43"/>
      <c r="D414" s="62" t="e">
        <f aca="false">IF(OR(="P",="PT"),0,IF(OR(="P",="PT"),1,IF(OR(="P",="PT"),2,IF(OR(="P",="PT"),3,IF(OR(="P",="PT"),4,"")))))</f>
        <v>#VALUE!</v>
      </c>
      <c r="E414" s="63" t="e">
        <f aca="false">IF(OR(="T",="PT"),0,IF(OR(="T",="PT"),1,IF(OR(="T",="PT"),2,IF(OR(="T",="PT"),3,IF(OR(="T",="PT"),4,"")))))</f>
        <v>#VALUE!</v>
      </c>
      <c r="G414" s="42" t="s">
        <v>144</v>
      </c>
      <c r="H414" s="91" t="s">
        <v>145</v>
      </c>
      <c r="I414" s="62" t="e">
        <f aca="false">IF(OR(="P",="PT"),0,IF(OR(="P",="PT"),1,IF(OR(="P",="PT"),2,IF(OR(="P",="PT"),3,IF(OR(="P",="PT"),4,"")))))</f>
        <v>#VALUE!</v>
      </c>
      <c r="J414" s="62" t="e">
        <f aca="false">IF(OR(="P",="PT"),-4,IF(OR(="P",="PT"),-3,IF(OR(="P",="PT"),-2,IF(OR(="P",="PT"),-1,IF(OR(="P",="PT"),0,"")))))</f>
        <v>#VALUE!</v>
      </c>
      <c r="K414" s="217" t="e">
        <f aca="false">IF(OR(="T",="PT"),0,IF(OR(="T",="PT"),1,IF(OR(="T",="PT"),2,IF(OR(="T",="PT"),3,IF(OR(="T",="PT"),4,"")))))</f>
        <v>#VALUE!</v>
      </c>
      <c r="L414" s="217" t="e">
        <f aca="false">IF(OR(="T",="PT"),-4,IF(OR(="T",="PT"),-3,IF(OR(="T",="PT"),-2,IF(OR(="T",="PT"),-1,IF(OR(="T",="PT"),0,"")))))</f>
        <v>#VALUE!</v>
      </c>
      <c r="R414" s="41"/>
    </row>
    <row collapsed="false" customFormat="false" customHeight="true" hidden="false" ht="11.4" outlineLevel="0" r="415">
      <c r="B415" s="42"/>
      <c r="C415" s="7"/>
      <c r="D415" s="62" t="e">
        <f aca="false">IF(OR(="P",="PT"),0,IF(OR(="P",="PT"),1,IF(OR(="P",="PT"),2,IF(OR(="P",="PT"),3,IF(OR(="P",="PT"),4,"")))))</f>
        <v>#VALUE!</v>
      </c>
      <c r="E415" s="63" t="e">
        <f aca="false">IF(OR(="T",="PT"),0,IF(OR(="T",="PT"),1,IF(OR(="T",="PT"),2,IF(OR(="T",="PT"),3,IF(OR(="T",="PT"),4,"")))))</f>
        <v>#VALUE!</v>
      </c>
      <c r="G415" s="42"/>
      <c r="H415" s="90" t="s">
        <v>146</v>
      </c>
      <c r="I415" s="62" t="e">
        <f aca="false">IF(OR(="P",="PT"),0,IF(OR(="P",="PT"),1,IF(OR(="P",="PT"),2,IF(OR(="P",="PT"),3,IF(OR(="P",="PT"),4,"")))))</f>
        <v>#VALUE!</v>
      </c>
      <c r="J415" s="62" t="e">
        <f aca="false">IF(OR(="P",="PT"),-4,IF(OR(="P",="PT"),-3,IF(OR(="P",="PT"),-2,IF(OR(="P",="PT"),-1,IF(OR(="P",="PT"),0,"")))))</f>
        <v>#VALUE!</v>
      </c>
      <c r="K415" s="217" t="e">
        <f aca="false">IF(OR(="T",="PT"),0,IF(OR(="T",="PT"),1,IF(OR(="T",="PT"),2,IF(OR(="T",="PT"),3,IF(OR(="T",="PT"),4,"")))))</f>
        <v>#VALUE!</v>
      </c>
      <c r="L415" s="217" t="e">
        <f aca="false">IF(OR(="T",="PT"),-4,IF(OR(="T",="PT"),-3,IF(OR(="T",="PT"),-2,IF(OR(="T",="PT"),-1,IF(OR(="T",="PT"),0,"")))))</f>
        <v>#VALUE!</v>
      </c>
      <c r="R415" s="41"/>
    </row>
    <row collapsed="false" customFormat="false" customHeight="true" hidden="false" ht="11.4" outlineLevel="0" r="416">
      <c r="B416" s="42"/>
      <c r="C416" s="43"/>
      <c r="D416" s="62" t="e">
        <f aca="false">IF(OR(="P",="PT"),0,IF(OR(="P",="PT"),1,IF(OR(="P",="PT"),2,IF(OR(="P",="PT"),3,IF(OR(="P",="PT"),4,"")))))</f>
        <v>#VALUE!</v>
      </c>
      <c r="E416" s="63" t="e">
        <f aca="false">IF(OR(="T",="PT"),0,IF(OR(="T",="PT"),1,IF(OR(="T",="PT"),2,IF(OR(="T",="PT"),3,IF(OR(="T",="PT"),4,"")))))</f>
        <v>#VALUE!</v>
      </c>
      <c r="G416" s="42" t="s">
        <v>147</v>
      </c>
      <c r="H416" s="43" t="s">
        <v>148</v>
      </c>
      <c r="I416" s="62" t="e">
        <f aca="false">IF(OR(="P",="PT"),0,IF(OR(="P",="PT"),1,IF(OR(="P",="PT"),2,IF(OR(="P",="PT"),3,IF(OR(="P",="PT"),4,"")))))</f>
        <v>#VALUE!</v>
      </c>
      <c r="J416" s="62" t="e">
        <f aca="false">IF(OR(="P",="PT"),-4,IF(OR(="P",="PT"),-3,IF(OR(="P",="PT"),-2,IF(OR(="P",="PT"),-1,IF(OR(="P",="PT"),0,"")))))</f>
        <v>#VALUE!</v>
      </c>
      <c r="K416" s="217" t="e">
        <f aca="false">IF(OR(="T",="PT"),0,IF(OR(="T",="PT"),1,IF(OR(="T",="PT"),2,IF(OR(="T",="PT"),3,IF(OR(="T",="PT"),4,"")))))</f>
        <v>#VALUE!</v>
      </c>
      <c r="L416" s="217" t="e">
        <f aca="false">IF(OR(="T",="PT"),-4,IF(OR(="T",="PT"),-3,IF(OR(="T",="PT"),-2,IF(OR(="T",="PT"),-1,IF(OR(="T",="PT"),0,"")))))</f>
        <v>#VALUE!</v>
      </c>
      <c r="R416" s="41"/>
    </row>
    <row collapsed="false" customFormat="false" customHeight="true" hidden="false" ht="11.4" outlineLevel="0" r="417">
      <c r="B417" s="42"/>
      <c r="C417" s="43"/>
      <c r="D417" s="62" t="e">
        <f aca="false">IF(OR(="P",="PT"),0,IF(OR(="P",="PT"),1,IF(OR(="P",="PT"),2,IF(OR(="P",="PT"),3,IF(OR(="P",="PT"),4,"")))))</f>
        <v>#VALUE!</v>
      </c>
      <c r="E417" s="63" t="e">
        <f aca="false">IF(OR(="T",="PT"),0,IF(OR(="T",="PT"),1,IF(OR(="T",="PT"),2,IF(OR(="T",="PT"),3,IF(OR(="T",="PT"),4,"")))))</f>
        <v>#VALUE!</v>
      </c>
      <c r="G417" s="42" t="s">
        <v>149</v>
      </c>
      <c r="H417" s="43" t="s">
        <v>150</v>
      </c>
      <c r="I417" s="62" t="e">
        <f aca="false">IF(OR(="P",="PT"),0,IF(OR(="P",="PT"),1,IF(OR(="P",="PT"),2,IF(OR(="P",="PT"),3,IF(OR(="P",="PT"),4,"")))))</f>
        <v>#VALUE!</v>
      </c>
      <c r="J417" s="62" t="e">
        <f aca="false">IF(OR(="P",="PT"),-4,IF(OR(="P",="PT"),-3,IF(OR(="P",="PT"),-2,IF(OR(="P",="PT"),-1,IF(OR(="P",="PT"),0,"")))))</f>
        <v>#VALUE!</v>
      </c>
      <c r="K417" s="217" t="e">
        <f aca="false">IF(OR(="T",="PT"),0,IF(OR(="T",="PT"),1,IF(OR(="T",="PT"),2,IF(OR(="T",="PT"),3,IF(OR(="T",="PT"),4,"")))))</f>
        <v>#VALUE!</v>
      </c>
      <c r="L417" s="217" t="e">
        <f aca="false">IF(OR(="T",="PT"),-4,IF(OR(="T",="PT"),-3,IF(OR(="T",="PT"),-2,IF(OR(="T",="PT"),-1,IF(OR(="T",="PT"),0,"")))))</f>
        <v>#VALUE!</v>
      </c>
      <c r="R417" s="41"/>
    </row>
    <row collapsed="false" customFormat="false" customHeight="true" hidden="false" ht="11.4" outlineLevel="0" r="418">
      <c r="B418" s="42"/>
      <c r="C418" s="7"/>
      <c r="D418" s="62" t="e">
        <f aca="false">IF(OR(="P",="PT"),0,IF(OR(="P",="PT"),1,IF(OR(="P",="PT"),2,IF(OR(="P",="PT"),3,IF(OR(="P",="PT"),4,"")))))</f>
        <v>#VALUE!</v>
      </c>
      <c r="E418" s="63" t="e">
        <f aca="false">IF(OR(="T",="PT"),0,IF(OR(="T",="PT"),1,IF(OR(="T",="PT"),2,IF(OR(="T",="PT"),3,IF(OR(="T",="PT"),4,"")))))</f>
        <v>#VALUE!</v>
      </c>
      <c r="G418" s="42" t="s">
        <v>151</v>
      </c>
      <c r="H418" s="43" t="s">
        <v>152</v>
      </c>
      <c r="I418" s="62" t="e">
        <f aca="false">IF(OR(="P",="PT"),0,IF(OR(="P",="PT"),1,IF(OR(="P",="PT"),2,IF(OR(="P",="PT"),3,IF(OR(="P",="PT"),4,"")))))</f>
        <v>#VALUE!</v>
      </c>
      <c r="J418" s="62" t="e">
        <f aca="false">IF(OR(="P",="PT"),-4,IF(OR(="P",="PT"),-3,IF(OR(="P",="PT"),-2,IF(OR(="P",="PT"),-1,IF(OR(="P",="PT"),0,"")))))</f>
        <v>#VALUE!</v>
      </c>
      <c r="K418" s="217" t="e">
        <f aca="false">IF(OR(="T",="PT"),0,IF(OR(="T",="PT"),1,IF(OR(="T",="PT"),2,IF(OR(="T",="PT"),3,IF(OR(="T",="PT"),4,"")))))</f>
        <v>#VALUE!</v>
      </c>
      <c r="L418" s="217" t="e">
        <f aca="false">IF(OR(="T",="PT"),-4,IF(OR(="T",="PT"),-3,IF(OR(="T",="PT"),-2,IF(OR(="T",="PT"),-1,IF(OR(="T",="PT"),0,"")))))</f>
        <v>#VALUE!</v>
      </c>
      <c r="R418" s="41"/>
    </row>
    <row collapsed="false" customFormat="false" customHeight="true" hidden="false" ht="11.4" outlineLevel="0" r="419">
      <c r="B419" s="42"/>
      <c r="C419" s="43"/>
      <c r="D419" s="62" t="e">
        <f aca="false">IF(OR(="P",="PT"),0,IF(OR(="P",="PT"),1,IF(OR(="P",="PT"),2,IF(OR(="P",="PT"),3,IF(OR(="P",="PT"),4,"")))))</f>
        <v>#VALUE!</v>
      </c>
      <c r="E419" s="63" t="e">
        <f aca="false">IF(OR(="T",="PT"),0,IF(OR(="T",="PT"),1,IF(OR(="T",="PT"),2,IF(OR(="T",="PT"),3,IF(OR(="T",="PT"),4,"")))))</f>
        <v>#VALUE!</v>
      </c>
      <c r="G419" s="42" t="s">
        <v>153</v>
      </c>
      <c r="H419" s="43" t="s">
        <v>154</v>
      </c>
      <c r="I419" s="62" t="e">
        <f aca="false">IF(OR(="P",="PT"),0,IF(OR(="P",="PT"),1,IF(OR(="P",="PT"),2,IF(OR(="P",="PT"),3,IF(OR(="P",="PT"),4,"")))))</f>
        <v>#VALUE!</v>
      </c>
      <c r="J419" s="62" t="e">
        <f aca="false">IF(OR(="P",="PT"),-4,IF(OR(="P",="PT"),-3,IF(OR(="P",="PT"),-2,IF(OR(="P",="PT"),-1,IF(OR(="P",="PT"),0,"")))))</f>
        <v>#VALUE!</v>
      </c>
      <c r="K419" s="217" t="e">
        <f aca="false">IF(OR(="T",="PT"),0,IF(OR(="T",="PT"),1,IF(OR(="T",="PT"),2,IF(OR(="T",="PT"),3,IF(OR(="T",="PT"),4,"")))))</f>
        <v>#VALUE!</v>
      </c>
      <c r="L419" s="217" t="e">
        <f aca="false">IF(OR(="T",="PT"),-4,IF(OR(="T",="PT"),-3,IF(OR(="T",="PT"),-2,IF(OR(="T",="PT"),-1,IF(OR(="T",="PT"),0,"")))))</f>
        <v>#VALUE!</v>
      </c>
      <c r="R419" s="41"/>
    </row>
    <row collapsed="false" customFormat="false" customHeight="true" hidden="false" ht="11.4" outlineLevel="0" r="420">
      <c r="B420" s="42"/>
      <c r="C420" s="43"/>
      <c r="D420" s="62" t="e">
        <f aca="false">IF(OR(="P",="PT"),0,IF(OR(="P",="PT"),1,IF(OR(="P",="PT"),2,IF(OR(="P",="PT"),3,IF(OR(="P",="PT"),4,"")))))</f>
        <v>#VALUE!</v>
      </c>
      <c r="E420" s="63" t="e">
        <f aca="false">IF(OR(="T",="PT"),0,IF(OR(="T",="PT"),1,IF(OR(="T",="PT"),2,IF(OR(="T",="PT"),3,IF(OR(="T",="PT"),4,"")))))</f>
        <v>#VALUE!</v>
      </c>
      <c r="G420" s="42" t="s">
        <v>155</v>
      </c>
      <c r="H420" s="43" t="s">
        <v>156</v>
      </c>
      <c r="I420" s="62" t="e">
        <f aca="false">IF(OR(="P",="PT"),0,IF(OR(="P",="PT"),1,IF(OR(="P",="PT"),2,IF(OR(="P",="PT"),3,IF(OR(="P",="PT"),4,"")))))</f>
        <v>#VALUE!</v>
      </c>
      <c r="J420" s="62" t="e">
        <f aca="false">IF(OR(="P",="PT"),-4,IF(OR(="P",="PT"),-3,IF(OR(="P",="PT"),-2,IF(OR(="P",="PT"),-1,IF(OR(="P",="PT"),0,"")))))</f>
        <v>#VALUE!</v>
      </c>
      <c r="K420" s="217" t="e">
        <f aca="false">IF(OR(="T",="PT"),0,IF(OR(="T",="PT"),1,IF(OR(="T",="PT"),2,IF(OR(="T",="PT"),3,IF(OR(="T",="PT"),4,"")))))</f>
        <v>#VALUE!</v>
      </c>
      <c r="L420" s="217" t="e">
        <f aca="false">IF(OR(="T",="PT"),-4,IF(OR(="T",="PT"),-3,IF(OR(="T",="PT"),-2,IF(OR(="T",="PT"),-1,IF(OR(="T",="PT"),0,"")))))</f>
        <v>#VALUE!</v>
      </c>
      <c r="R420" s="41"/>
    </row>
    <row collapsed="false" customFormat="false" customHeight="true" hidden="false" ht="11.4" outlineLevel="0" r="421">
      <c r="B421" s="42"/>
      <c r="C421" s="7"/>
      <c r="D421" s="62" t="e">
        <f aca="false">IF(OR(="P",="PT"),0,IF(OR(="P",="PT"),1,IF(OR(="P",="PT"),2,IF(OR(="P",="PT"),3,IF(OR(="P",="PT"),4,"")))))</f>
        <v>#VALUE!</v>
      </c>
      <c r="E421" s="63" t="e">
        <f aca="false">IF(OR(="T",="PT"),0,IF(OR(="T",="PT"),1,IF(OR(="T",="PT"),2,IF(OR(="T",="PT"),3,IF(OR(="T",="PT"),4,"")))))</f>
        <v>#VALUE!</v>
      </c>
      <c r="G421" s="42" t="s">
        <v>157</v>
      </c>
      <c r="H421" s="43" t="s">
        <v>158</v>
      </c>
      <c r="I421" s="62" t="e">
        <f aca="false">IF(OR(="P",="PT"),0,IF(OR(="P",="PT"),1,IF(OR(="P",="PT"),2,IF(OR(="P",="PT"),3,IF(OR(="P",="PT"),4,"")))))</f>
        <v>#VALUE!</v>
      </c>
      <c r="J421" s="62" t="e">
        <f aca="false">IF(OR(="P",="PT"),-4,IF(OR(="P",="PT"),-3,IF(OR(="P",="PT"),-2,IF(OR(="P",="PT"),-1,IF(OR(="P",="PT"),0,"")))))</f>
        <v>#VALUE!</v>
      </c>
      <c r="K421" s="217" t="e">
        <f aca="false">IF(OR(="T",="PT"),0,IF(OR(="T",="PT"),1,IF(OR(="T",="PT"),2,IF(OR(="T",="PT"),3,IF(OR(="T",="PT"),4,"")))))</f>
        <v>#VALUE!</v>
      </c>
      <c r="L421" s="217" t="e">
        <f aca="false">IF(OR(="T",="PT"),-4,IF(OR(="T",="PT"),-3,IF(OR(="T",="PT"),-2,IF(OR(="T",="PT"),-1,IF(OR(="T",="PT"),0,"")))))</f>
        <v>#VALUE!</v>
      </c>
      <c r="R421" s="41"/>
    </row>
    <row collapsed="false" customFormat="false" customHeight="true" hidden="false" ht="11.4" outlineLevel="0" r="422">
      <c r="B422" s="42"/>
      <c r="C422" s="42"/>
      <c r="D422" s="62" t="e">
        <f aca="false">IF(OR(="P",="PT"),0,IF(OR(="P",="PT"),1,IF(OR(="P",="PT"),2,IF(OR(="P",="PT"),3,IF(OR(="P",="PT"),4,"")))))</f>
        <v>#VALUE!</v>
      </c>
      <c r="E422" s="63" t="e">
        <f aca="false">IF(OR(="T",="PT"),0,IF(OR(="T",="PT"),1,IF(OR(="T",="PT"),2,IF(OR(="T",="PT"),3,IF(OR(="T",="PT"),4,"")))))</f>
        <v>#VALUE!</v>
      </c>
      <c r="G422" s="42" t="s">
        <v>159</v>
      </c>
      <c r="H422" s="43" t="s">
        <v>160</v>
      </c>
      <c r="I422" s="62" t="e">
        <f aca="false">IF(OR(="P",="PT"),0,IF(OR(="P",="PT"),1,IF(OR(="P",="PT"),2,IF(OR(="P",="PT"),3,IF(OR(="P",="PT"),4,"")))))</f>
        <v>#VALUE!</v>
      </c>
      <c r="J422" s="62" t="e">
        <f aca="false">IF(OR(="P",="PT"),-4,IF(OR(="P",="PT"),-3,IF(OR(="P",="PT"),-2,IF(OR(="P",="PT"),-1,IF(OR(="P",="PT"),0,"")))))</f>
        <v>#VALUE!</v>
      </c>
      <c r="K422" s="217" t="e">
        <f aca="false">IF(OR(="T",="PT"),0,IF(OR(="T",="PT"),1,IF(OR(="T",="PT"),2,IF(OR(="T",="PT"),3,IF(OR(="T",="PT"),4,"")))))</f>
        <v>#VALUE!</v>
      </c>
      <c r="L422" s="217" t="e">
        <f aca="false">IF(OR(="T",="PT"),-4,IF(OR(="T",="PT"),-3,IF(OR(="T",="PT"),-2,IF(OR(="T",="PT"),-1,IF(OR(="T",="PT"),0,"")))))</f>
        <v>#VALUE!</v>
      </c>
      <c r="R422" s="41"/>
    </row>
    <row collapsed="false" customFormat="false" customHeight="true" hidden="false" ht="11.4" outlineLevel="0" r="423">
      <c r="B423" s="42"/>
      <c r="C423" s="43"/>
      <c r="D423" s="62" t="e">
        <f aca="false">IF(OR(="P",="PT"),0,IF(OR(="P",="PT"),1,IF(OR(="P",="PT"),2,IF(OR(="P",="PT"),3,IF(OR(="P",="PT"),4,"")))))</f>
        <v>#VALUE!</v>
      </c>
      <c r="E423" s="63" t="e">
        <f aca="false">IF(OR(="T",="PT"),0,IF(OR(="T",="PT"),1,IF(OR(="T",="PT"),2,IF(OR(="T",="PT"),3,IF(OR(="T",="PT"),4,"")))))</f>
        <v>#VALUE!</v>
      </c>
      <c r="G423" s="42" t="s">
        <v>161</v>
      </c>
      <c r="H423" s="43" t="s">
        <v>162</v>
      </c>
      <c r="I423" s="62" t="e">
        <f aca="false">IF(OR(="P",="PT"),0,IF(OR(="P",="PT"),1,IF(OR(="P",="PT"),2,IF(OR(="P",="PT"),3,IF(OR(="P",="PT"),4,"")))))</f>
        <v>#VALUE!</v>
      </c>
      <c r="J423" s="62" t="e">
        <f aca="false">IF(OR(="P",="PT"),-4,IF(OR(="P",="PT"),-3,IF(OR(="P",="PT"),-2,IF(OR(="P",="PT"),-1,IF(OR(="P",="PT"),0,"")))))</f>
        <v>#VALUE!</v>
      </c>
      <c r="K423" s="217" t="e">
        <f aca="false">IF(OR(="T",="PT"),0,IF(OR(="T",="PT"),1,IF(OR(="T",="PT"),2,IF(OR(="T",="PT"),3,IF(OR(="T",="PT"),4,"")))))</f>
        <v>#VALUE!</v>
      </c>
      <c r="L423" s="217" t="e">
        <f aca="false">IF(OR(="T",="PT"),-4,IF(OR(="T",="PT"),-3,IF(OR(="T",="PT"),-2,IF(OR(="T",="PT"),-1,IF(OR(="T",="PT"),0,"")))))</f>
        <v>#VALUE!</v>
      </c>
      <c r="R423" s="41"/>
    </row>
    <row collapsed="false" customFormat="false" customHeight="true" hidden="false" ht="11.4" outlineLevel="0" r="424">
      <c r="B424" s="42"/>
      <c r="C424" s="43"/>
      <c r="D424" s="62" t="e">
        <f aca="false">IF(OR(="P",="PT"),0,IF(OR(="P",="PT"),1,IF(OR(="P",="PT"),2,IF(OR(="P",="PT"),3,IF(OR(="P",="PT"),4,"")))))</f>
        <v>#VALUE!</v>
      </c>
      <c r="E424" s="63" t="e">
        <f aca="false">IF(OR(="T",="PT"),0,IF(OR(="T",="PT"),1,IF(OR(="T",="PT"),2,IF(OR(="T",="PT"),3,IF(OR(="T",="PT"),4,"")))))</f>
        <v>#VALUE!</v>
      </c>
      <c r="G424" s="42" t="s">
        <v>163</v>
      </c>
      <c r="H424" s="43" t="s">
        <v>164</v>
      </c>
      <c r="I424" s="62" t="e">
        <f aca="false">IF(OR(="P",="PT"),0,IF(OR(="P",="PT"),1,IF(OR(="P",="PT"),2,IF(OR(="P",="PT"),3,IF(OR(="P",="PT"),4,"")))))</f>
        <v>#VALUE!</v>
      </c>
      <c r="J424" s="62" t="e">
        <f aca="false">IF(OR(="P",="PT"),-4,IF(OR(="P",="PT"),-3,IF(OR(="P",="PT"),-2,IF(OR(="P",="PT"),-1,IF(OR(="P",="PT"),0,"")))))</f>
        <v>#VALUE!</v>
      </c>
      <c r="K424" s="217" t="e">
        <f aca="false">IF(OR(="T",="PT"),0,IF(OR(="T",="PT"),1,IF(OR(="T",="PT"),2,IF(OR(="T",="PT"),3,IF(OR(="T",="PT"),4,"")))))</f>
        <v>#VALUE!</v>
      </c>
      <c r="L424" s="217" t="e">
        <f aca="false">IF(OR(="T",="PT"),-4,IF(OR(="T",="PT"),-3,IF(OR(="T",="PT"),-2,IF(OR(="T",="PT"),-1,IF(OR(="T",="PT"),0,"")))))</f>
        <v>#VALUE!</v>
      </c>
      <c r="R424" s="41"/>
    </row>
    <row collapsed="false" customFormat="false" customHeight="true" hidden="false" ht="11.4" outlineLevel="0" r="425">
      <c r="B425" s="42"/>
      <c r="C425" s="43"/>
      <c r="D425" s="62" t="e">
        <f aca="false">IF(OR(="P",="PT"),0,IF(OR(="P",="PT"),1,IF(OR(="P",="PT"),2,IF(OR(="P",="PT"),3,IF(OR(="P",="PT"),4,"")))))</f>
        <v>#VALUE!</v>
      </c>
      <c r="E425" s="63" t="e">
        <f aca="false">IF(OR(="T",="PT"),0,IF(OR(="T",="PT"),1,IF(OR(="T",="PT"),2,IF(OR(="T",="PT"),3,IF(OR(="T",="PT"),4,"")))))</f>
        <v>#VALUE!</v>
      </c>
      <c r="G425" s="42" t="s">
        <v>165</v>
      </c>
      <c r="H425" s="43" t="s">
        <v>166</v>
      </c>
      <c r="I425" s="62" t="e">
        <f aca="false">IF(OR(="P",="PT"),0,IF(OR(="P",="PT"),1,IF(OR(="P",="PT"),2,IF(OR(="P",="PT"),3,IF(OR(="P",="PT"),4,"")))))</f>
        <v>#VALUE!</v>
      </c>
      <c r="J425" s="62" t="e">
        <f aca="false">IF(OR(="P",="PT"),-4,IF(OR(="P",="PT"),-3,IF(OR(="P",="PT"),-2,IF(OR(="P",="PT"),-1,IF(OR(="P",="PT"),0,"")))))</f>
        <v>#VALUE!</v>
      </c>
      <c r="K425" s="217" t="e">
        <f aca="false">IF(OR(="T",="PT"),0,IF(OR(="T",="PT"),1,IF(OR(="T",="PT"),2,IF(OR(="T",="PT"),3,IF(OR(="T",="PT"),4,"")))))</f>
        <v>#VALUE!</v>
      </c>
      <c r="L425" s="217" t="e">
        <f aca="false">IF(OR(="T",="PT"),-4,IF(OR(="T",="PT"),-3,IF(OR(="T",="PT"),-2,IF(OR(="T",="PT"),-1,IF(OR(="T",="PT"),0,"")))))</f>
        <v>#VALUE!</v>
      </c>
      <c r="R425" s="41"/>
    </row>
    <row collapsed="false" customFormat="false" customHeight="true" hidden="false" ht="11.4" outlineLevel="0" r="426">
      <c r="B426" s="42"/>
      <c r="C426" s="43"/>
      <c r="D426" s="62" t="e">
        <f aca="false">IF(OR(="P",="PT"),0,IF(OR(="P",="PT"),1,IF(OR(="P",="PT"),2,IF(OR(="P",="PT"),3,IF(OR(="P",="PT"),4,"")))))</f>
        <v>#VALUE!</v>
      </c>
      <c r="E426" s="63" t="e">
        <f aca="false">IF(OR(="T",="PT"),0,IF(OR(="T",="PT"),1,IF(OR(="T",="PT"),2,IF(OR(="T",="PT"),3,IF(OR(="T",="PT"),4,"")))))</f>
        <v>#VALUE!</v>
      </c>
      <c r="G426" s="42"/>
      <c r="H426" s="90" t="s">
        <v>167</v>
      </c>
      <c r="I426" s="62" t="e">
        <f aca="false">IF(OR(="P",="PT"),0,IF(OR(="P",="PT"),1,IF(OR(="P",="PT"),2,IF(OR(="P",="PT"),3,IF(OR(="P",="PT"),4,"")))))</f>
        <v>#VALUE!</v>
      </c>
      <c r="J426" s="62" t="e">
        <f aca="false">IF(OR(="P",="PT"),-4,IF(OR(="P",="PT"),-3,IF(OR(="P",="PT"),-2,IF(OR(="P",="PT"),-1,IF(OR(="P",="PT"),0,"")))))</f>
        <v>#VALUE!</v>
      </c>
      <c r="K426" s="217" t="e">
        <f aca="false">IF(OR(="T",="PT"),0,IF(OR(="T",="PT"),1,IF(OR(="T",="PT"),2,IF(OR(="T",="PT"),3,IF(OR(="T",="PT"),4,"")))))</f>
        <v>#VALUE!</v>
      </c>
      <c r="L426" s="217" t="e">
        <f aca="false">IF(OR(="T",="PT"),-4,IF(OR(="T",="PT"),-3,IF(OR(="T",="PT"),-2,IF(OR(="T",="PT"),-1,IF(OR(="T",="PT"),0,"")))))</f>
        <v>#VALUE!</v>
      </c>
      <c r="R426" s="41"/>
    </row>
    <row collapsed="false" customFormat="false" customHeight="true" hidden="false" ht="11.4" outlineLevel="0" r="427">
      <c r="B427" s="42"/>
      <c r="C427" s="7"/>
      <c r="D427" s="62" t="e">
        <f aca="false">IF(OR(="P",="PT"),0,IF(OR(="P",="PT"),1,IF(OR(="P",="PT"),2,IF(OR(="P",="PT"),3,IF(OR(="P",="PT"),4,"")))))</f>
        <v>#VALUE!</v>
      </c>
      <c r="E427" s="63" t="e">
        <f aca="false">IF(OR(="T",="PT"),0,IF(OR(="T",="PT"),1,IF(OR(="T",="PT"),2,IF(OR(="T",="PT"),3,IF(OR(="T",="PT"),4,"")))))</f>
        <v>#VALUE!</v>
      </c>
      <c r="G427" s="42" t="s">
        <v>168</v>
      </c>
      <c r="H427" s="43" t="s">
        <v>169</v>
      </c>
      <c r="I427" s="62" t="e">
        <f aca="false">IF(OR(="P",="PT"),0,IF(OR(="P",="PT"),1,IF(OR(="P",="PT"),2,IF(OR(="P",="PT"),3,IF(OR(="P",="PT"),4,"")))))</f>
        <v>#VALUE!</v>
      </c>
      <c r="J427" s="62" t="e">
        <f aca="false">IF(OR(="P",="PT"),-4,IF(OR(="P",="PT"),-3,IF(OR(="P",="PT"),-2,IF(OR(="P",="PT"),-1,IF(OR(="P",="PT"),0,"")))))</f>
        <v>#VALUE!</v>
      </c>
      <c r="K427" s="217" t="e">
        <f aca="false">IF(OR(="T",="PT"),0,IF(OR(="T",="PT"),1,IF(OR(="T",="PT"),2,IF(OR(="T",="PT"),3,IF(OR(="T",="PT"),4,"")))))</f>
        <v>#VALUE!</v>
      </c>
      <c r="L427" s="217" t="e">
        <f aca="false">IF(OR(="T",="PT"),-4,IF(OR(="T",="PT"),-3,IF(OR(="T",="PT"),-2,IF(OR(="T",="PT"),-1,IF(OR(="T",="PT"),0,"")))))</f>
        <v>#VALUE!</v>
      </c>
      <c r="R427" s="41"/>
    </row>
    <row collapsed="false" customFormat="false" customHeight="true" hidden="false" ht="11.4" outlineLevel="0" r="428">
      <c r="B428" s="42"/>
      <c r="C428" s="43"/>
      <c r="D428" s="62" t="e">
        <f aca="false">IF(OR(="P",="PT"),0,IF(OR(="P",="PT"),1,IF(OR(="P",="PT"),2,IF(OR(="P",="PT"),3,IF(OR(="P",="PT"),4,"")))))</f>
        <v>#VALUE!</v>
      </c>
      <c r="E428" s="63" t="e">
        <f aca="false">IF(OR(="T",="PT"),0,IF(OR(="T",="PT"),1,IF(OR(="T",="PT"),2,IF(OR(="T",="PT"),3,IF(OR(="T",="PT"),4,"")))))</f>
        <v>#VALUE!</v>
      </c>
      <c r="L428" s="217" t="e">
        <f aca="false">IF(OR(="T",="PT"),-4,IF(OR(="T",="PT"),-3,IF(OR(="T",="PT"),-2,IF(OR(="T",="PT"),-1,IF(OR(="T",="PT"),0,"")))))</f>
        <v>#VALUE!</v>
      </c>
      <c r="R428" s="41"/>
    </row>
    <row collapsed="false" customFormat="false" customHeight="true" hidden="false" ht="11.4" outlineLevel="0" r="429">
      <c r="B429" s="42"/>
      <c r="C429" s="43"/>
      <c r="D429" s="62" t="e">
        <f aca="false">IF(OR(="P",="PT"),0,IF(OR(="P",="PT"),1,IF(OR(="P",="PT"),2,IF(OR(="P",="PT"),3,IF(OR(="P",="PT"),4,"")))))</f>
        <v>#VALUE!</v>
      </c>
      <c r="E429" s="63" t="e">
        <f aca="false">IF(OR(="T",="PT"),0,IF(OR(="T",="PT"),1,IF(OR(="T",="PT"),2,IF(OR(="T",="PT"),3,IF(OR(="T",="PT"),4,"")))))</f>
        <v>#VALUE!</v>
      </c>
      <c r="R429" s="41"/>
    </row>
    <row collapsed="false" customFormat="false" customHeight="true" hidden="false" ht="11.4" outlineLevel="0" r="430">
      <c r="B430" s="42"/>
      <c r="C430" s="43"/>
      <c r="D430" s="62" t="e">
        <f aca="false">IF(OR(="P",="PT"),0,IF(OR(="P",="PT"),1,IF(OR(="P",="PT"),2,IF(OR(="P",="PT"),3,IF(OR(="P",="PT"),4,"")))))</f>
        <v>#VALUE!</v>
      </c>
      <c r="E430" s="63" t="e">
        <f aca="false">IF(OR(="T",="PT"),0,IF(OR(="T",="PT"),1,IF(OR(="T",="PT"),2,IF(OR(="T",="PT"),3,IF(OR(="T",="PT"),4,"")))))</f>
        <v>#VALUE!</v>
      </c>
      <c r="R430" s="41"/>
    </row>
    <row collapsed="false" customFormat="false" customHeight="true" hidden="false" ht="11.4" outlineLevel="0" r="431">
      <c r="B431" s="42"/>
      <c r="C431" s="7"/>
      <c r="D431" s="62"/>
      <c r="E431" s="63"/>
      <c r="R431" s="41"/>
    </row>
    <row collapsed="false" customFormat="false" customHeight="true" hidden="false" ht="11.4" outlineLevel="0" r="432">
      <c r="B432" s="42"/>
      <c r="C432" s="43"/>
      <c r="D432" s="62" t="e">
        <f aca="false">IF(OR(="P",="PT"),0,IF(OR(="P",="PT"),1,IF(OR(="P",="PT"),2,IF(OR(="P",="PT"),3,IF(OR(="P",="PT"),4,"")))))</f>
        <v>#VALUE!</v>
      </c>
      <c r="E432" s="63" t="e">
        <f aca="false">IF(OR(="T",="PT"),0,IF(OR(="T",="PT"),1,IF(OR(="T",="PT"),2,IF(OR(="T",="PT"),3,IF(OR(="T",="PT"),4,"")))))</f>
        <v>#VALUE!</v>
      </c>
      <c r="R432" s="41"/>
    </row>
    <row collapsed="false" customFormat="false" customHeight="true" hidden="false" ht="11.4" outlineLevel="0" r="433">
      <c r="B433" s="42"/>
      <c r="C433" s="43"/>
      <c r="D433" s="62" t="e">
        <f aca="false">IF(OR(="P",="PT"),0,IF(OR(="P",="PT"),1,IF(OR(="P",="PT"),2,IF(OR(="P",="PT"),3,IF(OR(="P",="PT"),4,"")))))</f>
        <v>#VALUE!</v>
      </c>
      <c r="E433" s="63" t="e">
        <f aca="false">IF(OR(="T",="PT"),0,IF(OR(="T",="PT"),1,IF(OR(="T",="PT"),2,IF(OR(="T",="PT"),3,IF(OR(="T",="PT"),4,"")))))</f>
        <v>#VALUE!</v>
      </c>
      <c r="R433" s="41"/>
      <c r="S433" s="0"/>
    </row>
    <row collapsed="false" customFormat="false" customHeight="true" hidden="false" ht="11.4" outlineLevel="0" r="434">
      <c r="B434" s="42"/>
      <c r="C434" s="43"/>
      <c r="D434" s="62" t="e">
        <f aca="false">IF(OR(="P",="PT"),0,IF(OR(="P",="PT"),1,IF(OR(="P",="PT"),2,IF(OR(="P",="PT"),3,IF(OR(="P",="PT"),4,"")))))</f>
        <v>#VALUE!</v>
      </c>
      <c r="E434" s="63" t="e">
        <f aca="false">IF(OR(="T",="PT"),0,IF(OR(="T",="PT"),1,IF(OR(="T",="PT"),2,IF(OR(="T",="PT"),3,IF(OR(="T",="PT"),4,"")))))</f>
        <v>#VALUE!</v>
      </c>
      <c r="R434" s="41"/>
      <c r="S434" s="0"/>
    </row>
    <row collapsed="false" customFormat="false" customHeight="true" hidden="false" ht="11.4" outlineLevel="0" r="435">
      <c r="B435" s="42"/>
      <c r="C435" s="43"/>
      <c r="D435" s="62" t="e">
        <f aca="false">IF(OR(="P",="PT"),0,IF(OR(="P",="PT"),1,IF(OR(="P",="PT"),2,IF(OR(="P",="PT"),3,IF(OR(="P",="PT"),4,"")))))</f>
        <v>#VALUE!</v>
      </c>
      <c r="E435" s="63" t="e">
        <f aca="false">IF(OR(="T",="PT"),0,IF(OR(="T",="PT"),1,IF(OR(="T",="PT"),2,IF(OR(="T",="PT"),3,IF(OR(="T",="PT"),4,"")))))</f>
        <v>#VALUE!</v>
      </c>
      <c r="R435" s="41"/>
      <c r="S435" s="0"/>
    </row>
    <row collapsed="false" customFormat="false" customHeight="true" hidden="false" ht="11.4" outlineLevel="0" r="436">
      <c r="B436" s="42"/>
      <c r="C436" s="43"/>
      <c r="D436" s="62" t="e">
        <f aca="false">IF(OR(="P",="PT"),0,IF(OR(="P",="PT"),1,IF(OR(="P",="PT"),2,IF(OR(="P",="PT"),3,IF(OR(="P",="PT"),4,"")))))</f>
        <v>#VALUE!</v>
      </c>
      <c r="E436" s="63" t="e">
        <f aca="false">IF(OR(="T",="PT"),0,IF(OR(="T",="PT"),1,IF(OR(="T",="PT"),2,IF(OR(="T",="PT"),3,IF(OR(="T",="PT"),4,"")))))</f>
        <v>#VALUE!</v>
      </c>
      <c r="R436" s="41"/>
      <c r="S436" s="0"/>
    </row>
    <row collapsed="false" customFormat="false" customHeight="true" hidden="false" ht="11.4" outlineLevel="0" r="437">
      <c r="B437" s="42"/>
      <c r="C437" s="43"/>
      <c r="D437" s="62" t="e">
        <f aca="false">IF(OR(="P",="PT"),0,IF(OR(="P",="PT"),1,IF(OR(="P",="PT"),2,IF(OR(="P",="PT"),3,IF(OR(="P",="PT"),4,"")))))</f>
        <v>#VALUE!</v>
      </c>
      <c r="E437" s="63" t="e">
        <f aca="false">IF(OR(="T",="PT"),0,IF(OR(="T",="PT"),1,IF(OR(="T",="PT"),2,IF(OR(="T",="PT"),3,IF(OR(="T",="PT"),4,"")))))</f>
        <v>#VALUE!</v>
      </c>
      <c r="R437" s="41"/>
      <c r="S437" s="0"/>
    </row>
    <row collapsed="false" customFormat="false" customHeight="true" hidden="false" ht="11.4" outlineLevel="0" r="438">
      <c r="B438" s="42"/>
      <c r="C438" s="43"/>
      <c r="D438" s="62" t="e">
        <f aca="false">IF(OR(="P",="PT"),0,IF(OR(="P",="PT"),1,IF(OR(="P",="PT"),2,IF(OR(="P",="PT"),3,IF(OR(="P",="PT"),4,"")))))</f>
        <v>#VALUE!</v>
      </c>
      <c r="E438" s="63" t="e">
        <f aca="false">IF(OR(="T",="PT"),0,IF(OR(="T",="PT"),1,IF(OR(="T",="PT"),2,IF(OR(="T",="PT"),3,IF(OR(="T",="PT"),4,"")))))</f>
        <v>#VALUE!</v>
      </c>
      <c r="R438" s="41"/>
      <c r="S438" s="0"/>
    </row>
    <row collapsed="false" customFormat="false" customHeight="true" hidden="false" ht="11.4" outlineLevel="0" r="439">
      <c r="B439" s="42"/>
      <c r="C439" s="43"/>
      <c r="D439" s="62" t="e">
        <f aca="false">IF(OR(="P",="PT"),0,IF(OR(="P",="PT"),1,IF(OR(="P",="PT"),2,IF(OR(="P",="PT"),3,IF(OR(="P",="PT"),4,"")))))</f>
        <v>#VALUE!</v>
      </c>
      <c r="E439" s="63" t="e">
        <f aca="false">IF(OR(="T",="PT"),0,IF(OR(="T",="PT"),1,IF(OR(="T",="PT"),2,IF(OR(="T",="PT"),3,IF(OR(="T",="PT"),4,"")))))</f>
        <v>#VALUE!</v>
      </c>
      <c r="R439" s="41"/>
      <c r="S439" s="0"/>
    </row>
    <row collapsed="false" customFormat="false" customHeight="true" hidden="false" ht="11.4" outlineLevel="0" r="440">
      <c r="B440" s="42"/>
      <c r="C440" s="7"/>
      <c r="D440" s="62" t="e">
        <f aca="false">IF(OR(="P",="PT"),0,IF(OR(="P",="PT"),1,IF(OR(="P",="PT"),2,IF(OR(="P",="PT"),3,IF(OR(="P",="PT"),4,"")))))</f>
        <v>#VALUE!</v>
      </c>
      <c r="E440" s="63" t="e">
        <f aca="false">IF(OR(="T",="PT"),0,IF(OR(="T",="PT"),1,IF(OR(="T",="PT"),2,IF(OR(="T",="PT"),3,IF(OR(="T",="PT"),4,"")))))</f>
        <v>#VALUE!</v>
      </c>
      <c r="G440" s="174"/>
      <c r="H440" s="174"/>
      <c r="I440" s="61"/>
      <c r="R440" s="41"/>
      <c r="S440" s="0"/>
    </row>
    <row collapsed="false" customFormat="false" customHeight="true" hidden="false" ht="11.4" outlineLevel="0" r="441">
      <c r="B441" s="42"/>
      <c r="C441" s="43"/>
      <c r="D441" s="62" t="e">
        <f aca="false">IF(OR(="P",="PT"),0,IF(OR(="P",="PT"),1,IF(OR(="P",="PT"),2,IF(OR(="P",="PT"),3,IF(OR(="P",="PT"),4,"")))))</f>
        <v>#VALUE!</v>
      </c>
      <c r="E441" s="63" t="e">
        <f aca="false">IF(OR(="T",="PT"),0,IF(OR(="T",="PT"),1,IF(OR(="T",="PT"),2,IF(OR(="T",="PT"),3,IF(OR(="T",="PT"),4,"")))))</f>
        <v>#VALUE!</v>
      </c>
      <c r="R441" s="41"/>
      <c r="S441" s="0"/>
    </row>
    <row collapsed="false" customFormat="false" customHeight="true" hidden="false" ht="11.4" outlineLevel="0" r="442">
      <c r="B442" s="42"/>
      <c r="C442" s="43"/>
      <c r="D442" s="62" t="e">
        <f aca="false">IF(OR(="P",="PT"),0,IF(OR(="P",="PT"),1,IF(OR(="P",="PT"),2,IF(OR(="P",="PT"),3,IF(OR(="P",="PT"),4,"")))))</f>
        <v>#VALUE!</v>
      </c>
      <c r="E442" s="63" t="e">
        <f aca="false">IF(OR(="T",="PT"),0,IF(OR(="T",="PT"),1,IF(OR(="T",="PT"),2,IF(OR(="T",="PT"),3,IF(OR(="T",="PT"),4,"")))))</f>
        <v>#VALUE!</v>
      </c>
      <c r="R442" s="41"/>
      <c r="S442" s="0"/>
    </row>
    <row collapsed="false" customFormat="false" customHeight="true" hidden="false" ht="11.4" outlineLevel="0" r="443">
      <c r="B443" s="42"/>
      <c r="C443" s="7"/>
      <c r="D443" s="62" t="e">
        <f aca="false">IF(OR(="P",="PT"),0,IF(OR(="P",="PT"),1,IF(OR(="P",="PT"),2,IF(OR(="P",="PT"),3,IF(OR(="P",="PT"),4,"")))))</f>
        <v>#VALUE!</v>
      </c>
      <c r="E443" s="63" t="e">
        <f aca="false">IF(OR(="T",="PT"),0,IF(OR(="T",="PT"),1,IF(OR(="T",="PT"),2,IF(OR(="T",="PT"),3,IF(OR(="T",="PT"),4,"")))))</f>
        <v>#VALUE!</v>
      </c>
      <c r="R443" s="41"/>
      <c r="S443" s="0"/>
    </row>
    <row collapsed="false" customFormat="false" customHeight="true" hidden="false" ht="11.4" outlineLevel="0" r="444">
      <c r="B444" s="42"/>
      <c r="C444" s="43"/>
      <c r="D444" s="62" t="e">
        <f aca="false">IF(OR(="P",="PT"),0,IF(OR(="P",="PT"),1,IF(OR(="P",="PT"),2,IF(OR(="P",="PT"),3,IF(OR(="P",="PT"),4,"")))))</f>
        <v>#VALUE!</v>
      </c>
      <c r="E444" s="63" t="e">
        <f aca="false">IF(OR(="T",="PT"),0,IF(OR(="T",="PT"),1,IF(OR(="T",="PT"),2,IF(OR(="T",="PT"),3,IF(OR(="T",="PT"),4,"")))))</f>
        <v>#VALUE!</v>
      </c>
      <c r="M444" s="41"/>
      <c r="N444" s="41"/>
      <c r="O444" s="41"/>
      <c r="P444" s="41"/>
      <c r="Q444" s="41"/>
      <c r="R444" s="41"/>
      <c r="S444" s="0"/>
    </row>
    <row collapsed="false" customFormat="false" customHeight="true" hidden="false" ht="11.4" outlineLevel="0" r="445">
      <c r="B445" s="42"/>
      <c r="C445" s="43"/>
      <c r="D445" s="62" t="e">
        <f aca="false">IF(OR(="P",="PT"),0,IF(OR(="P",="PT"),1,IF(OR(="P",="PT"),2,IF(OR(="P",="PT"),3,IF(OR(="P",="PT"),4,"")))))</f>
        <v>#VALUE!</v>
      </c>
      <c r="E445" s="63" t="e">
        <f aca="false">IF(OR(="T",="PT"),0,IF(OR(="T",="PT"),1,IF(OR(="T",="PT"),2,IF(OR(="T",="PT"),3,IF(OR(="T",="PT"),4,"")))))</f>
        <v>#VALUE!</v>
      </c>
      <c r="L445" s="41"/>
      <c r="M445" s="41"/>
      <c r="N445" s="41"/>
      <c r="O445" s="41"/>
      <c r="P445" s="41"/>
      <c r="Q445" s="41"/>
      <c r="R445" s="41"/>
      <c r="S445" s="0"/>
    </row>
    <row collapsed="false" customFormat="false" customHeight="true" hidden="false" ht="11.4" outlineLevel="0" r="446">
      <c r="B446" s="42"/>
      <c r="C446" s="43"/>
      <c r="D446" s="62" t="e">
        <f aca="false">IF(OR(="P",="PT"),0,IF(OR(="P",="PT"),1,IF(OR(="P",="PT"),2,IF(OR(="P",="PT"),3,IF(OR(="P",="PT"),4,"")))))</f>
        <v>#VALUE!</v>
      </c>
      <c r="E446" s="63" t="e">
        <f aca="false">IF(OR(="T",="PT"),0,IF(OR(="T",="PT"),1,IF(OR(="T",="PT"),2,IF(OR(="T",="PT"),3,IF(OR(="T",="PT"),4,"")))))</f>
        <v>#VALUE!</v>
      </c>
      <c r="L446" s="41"/>
      <c r="M446" s="41"/>
      <c r="N446" s="41"/>
      <c r="O446" s="41"/>
      <c r="P446" s="41"/>
      <c r="Q446" s="41"/>
      <c r="R446" s="41"/>
      <c r="S446" s="0"/>
    </row>
    <row collapsed="false" customFormat="false" customHeight="true" hidden="false" ht="11.4" outlineLevel="0" r="447">
      <c r="B447" s="42"/>
      <c r="C447" s="43"/>
      <c r="D447" s="62" t="e">
        <f aca="false">IF(OR(="P",="PT"),0,IF(OR(="P",="PT"),1,IF(OR(="P",="PT"),2,IF(OR(="P",="PT"),3,IF(OR(="P",="PT"),4,"")))))</f>
        <v>#VALUE!</v>
      </c>
      <c r="E447" s="63" t="e">
        <f aca="false">IF(OR(="T",="PT"),0,IF(OR(="T",="PT"),1,IF(OR(="T",="PT"),2,IF(OR(="T",="PT"),3,IF(OR(="T",="PT"),4,"")))))</f>
        <v>#VALUE!</v>
      </c>
      <c r="L447" s="41"/>
      <c r="M447" s="41"/>
      <c r="N447" s="41"/>
      <c r="O447" s="41"/>
      <c r="P447" s="41"/>
      <c r="Q447" s="41"/>
      <c r="R447" s="41"/>
      <c r="S447" s="0"/>
    </row>
    <row collapsed="false" customFormat="false" customHeight="true" hidden="false" ht="11.4" outlineLevel="0" r="448">
      <c r="L448" s="41"/>
      <c r="M448" s="41"/>
      <c r="N448" s="41"/>
      <c r="O448" s="41"/>
      <c r="P448" s="41"/>
      <c r="Q448" s="41"/>
      <c r="R448" s="41"/>
      <c r="S448" s="0"/>
    </row>
    <row collapsed="false" customFormat="false" customHeight="true" hidden="false" ht="11.4" outlineLevel="0" r="449">
      <c r="C449" s="71"/>
      <c r="D449" s="72" t="n">
        <f aca="false">COUNT(D381:D447)</f>
        <v>0</v>
      </c>
      <c r="E449" s="84" t="n">
        <f aca="false">COUNT(E381:E447)</f>
        <v>0</v>
      </c>
      <c r="L449" s="41"/>
      <c r="M449" s="41"/>
      <c r="N449" s="41"/>
      <c r="O449" s="41"/>
      <c r="P449" s="41"/>
      <c r="Q449" s="41"/>
      <c r="R449" s="41"/>
      <c r="S449" s="0"/>
    </row>
    <row collapsed="false" customFormat="false" customHeight="true" hidden="false" ht="11.4" outlineLevel="0" r="450">
      <c r="L450" s="41"/>
      <c r="M450" s="41"/>
      <c r="N450" s="41"/>
      <c r="O450" s="41"/>
      <c r="P450" s="41"/>
      <c r="Q450" s="41"/>
      <c r="R450" s="41"/>
      <c r="S450" s="0"/>
    </row>
    <row collapsed="false" customFormat="false" customHeight="true" hidden="false" ht="11.4" outlineLevel="0" r="451">
      <c r="B451" s="88"/>
      <c r="C451" s="71"/>
      <c r="D451" s="83" t="s">
        <v>64</v>
      </c>
      <c r="E451" s="84" t="n">
        <f aca="false">COUNT(D461:E527)/2</f>
        <v>0</v>
      </c>
      <c r="L451" s="41"/>
      <c r="M451" s="41"/>
      <c r="N451" s="41"/>
      <c r="O451" s="41"/>
      <c r="P451" s="41"/>
      <c r="Q451" s="41"/>
      <c r="R451" s="41"/>
      <c r="S451" s="0"/>
    </row>
    <row collapsed="false" customFormat="false" customHeight="true" hidden="false" ht="11.4" outlineLevel="0" r="452">
      <c r="E452" s="61"/>
      <c r="F452" s="61"/>
      <c r="L452" s="41"/>
      <c r="M452" s="41"/>
      <c r="N452" s="41"/>
      <c r="O452" s="41"/>
      <c r="P452" s="41"/>
      <c r="Q452" s="41"/>
      <c r="R452" s="41"/>
      <c r="S452" s="0"/>
    </row>
    <row collapsed="false" customFormat="false" customHeight="true" hidden="false" ht="11.4" outlineLevel="0" r="453">
      <c r="E453" s="174"/>
      <c r="F453" s="61"/>
      <c r="L453" s="41"/>
      <c r="M453" s="41"/>
      <c r="N453" s="41"/>
      <c r="O453" s="41"/>
      <c r="P453" s="41"/>
      <c r="Q453" s="41"/>
      <c r="R453" s="41"/>
      <c r="S453" s="0"/>
    </row>
    <row collapsed="false" customFormat="false" customHeight="true" hidden="false" ht="11.4" outlineLevel="0" r="454">
      <c r="E454" s="174"/>
      <c r="F454" s="61"/>
      <c r="L454" s="41"/>
      <c r="M454" s="41"/>
      <c r="N454" s="41"/>
      <c r="O454" s="41"/>
      <c r="P454" s="41"/>
      <c r="Q454" s="41"/>
      <c r="R454" s="41"/>
    </row>
    <row collapsed="false" customFormat="false" customHeight="true" hidden="false" ht="11.4" outlineLevel="0" r="455">
      <c r="E455" s="61"/>
      <c r="F455" s="61"/>
      <c r="L455" s="41"/>
      <c r="M455" s="41"/>
      <c r="N455" s="41"/>
      <c r="O455" s="41"/>
      <c r="P455" s="41"/>
      <c r="Q455" s="41"/>
      <c r="R455" s="41"/>
    </row>
    <row collapsed="false" customFormat="false" customHeight="true" hidden="false" ht="11.4" outlineLevel="0" r="456">
      <c r="M456" s="41"/>
      <c r="N456" s="41"/>
      <c r="O456" s="41"/>
      <c r="P456" s="41"/>
      <c r="Q456" s="41"/>
      <c r="R456" s="41"/>
    </row>
    <row collapsed="false" customFormat="false" customHeight="true" hidden="false" ht="11.4" outlineLevel="0" r="457">
      <c r="L457" s="41"/>
      <c r="M457" s="41"/>
      <c r="N457" s="41"/>
      <c r="O457" s="41"/>
      <c r="P457" s="41"/>
      <c r="Q457" s="41"/>
      <c r="R457" s="41"/>
    </row>
    <row collapsed="false" customFormat="false" customHeight="true" hidden="false" ht="11.4" outlineLevel="0" r="458">
      <c r="D458" s="55" t="s">
        <v>175</v>
      </c>
      <c r="E458" s="218"/>
      <c r="F458" s="218"/>
      <c r="G458" s="219"/>
      <c r="H458" s="220"/>
      <c r="I458" s="218"/>
      <c r="J458" s="141"/>
      <c r="K458" s="56"/>
      <c r="L458" s="41"/>
      <c r="M458" s="41"/>
      <c r="N458" s="41"/>
      <c r="O458" s="41"/>
      <c r="P458" s="41"/>
      <c r="Q458" s="41"/>
      <c r="R458" s="41"/>
    </row>
    <row collapsed="false" customFormat="false" customHeight="true" hidden="false" ht="11.4" outlineLevel="0" r="459">
      <c r="K459" s="61"/>
      <c r="L459" s="41"/>
      <c r="M459" s="41"/>
      <c r="N459" s="41"/>
      <c r="O459" s="41"/>
      <c r="P459" s="41"/>
      <c r="Q459" s="41"/>
      <c r="R459" s="41"/>
    </row>
    <row collapsed="false" customFormat="false" customHeight="true" hidden="false" ht="11.4" outlineLevel="0" r="460">
      <c r="B460" s="7"/>
      <c r="C460" s="221"/>
      <c r="D460" s="221" t="s">
        <v>176</v>
      </c>
      <c r="E460" s="221" t="s">
        <v>177</v>
      </c>
      <c r="F460" s="221" t="s">
        <v>178</v>
      </c>
      <c r="G460" s="221" t="s">
        <v>179</v>
      </c>
      <c r="H460" s="221" t="s">
        <v>180</v>
      </c>
      <c r="I460" s="221" t="s">
        <v>181</v>
      </c>
      <c r="J460" s="221" t="s">
        <v>182</v>
      </c>
      <c r="K460" s="41"/>
      <c r="L460" s="222"/>
      <c r="M460" s="41"/>
      <c r="N460" s="41"/>
      <c r="O460" s="41"/>
      <c r="P460" s="41"/>
      <c r="Q460" s="41"/>
      <c r="R460" s="41"/>
    </row>
    <row collapsed="false" customFormat="false" customHeight="true" hidden="false" ht="11.4" outlineLevel="0" r="461">
      <c r="B461" s="42"/>
      <c r="C461" s="43"/>
      <c r="D461" s="169" t="e">
        <f aca="false">IF(OR(D381="",E381=""),"",D381)</f>
        <v>#VALUE!</v>
      </c>
      <c r="E461" s="169" t="e">
        <f aca="false">IF(OR(E381="",D381=""),"",E381)</f>
        <v>#VALUE!</v>
      </c>
      <c r="F461" s="223" t="e">
        <f aca="false">IF(OR(D461="",E461=""),"",RANK(D461,xi,1)+(COUNTIF(xi,D461)-1)/2)</f>
        <v>#VALUE!</v>
      </c>
      <c r="G461" s="223" t="e">
        <f aca="false">IF(OR(E461="",F461=""),"",RANK(E461,yi,1)+(COUNTIF(yi,E461)-1)/2)</f>
        <v>#VALUE!</v>
      </c>
      <c r="H461" s="224" t="e">
        <f aca="false">IF(OR(F461="",G461=""),"",F461*G461)</f>
        <v>#VALUE!</v>
      </c>
      <c r="I461" s="224" t="e">
        <f aca="false">IF(OR(F461="",G461=""),"",F461^2)</f>
        <v>#VALUE!</v>
      </c>
      <c r="J461" s="224" t="e">
        <f aca="false">IF(OR(F461="",G461=""),"",G461^2)</f>
        <v>#VALUE!</v>
      </c>
      <c r="K461" s="201"/>
      <c r="L461" s="222"/>
      <c r="M461" s="41"/>
      <c r="N461" s="41"/>
      <c r="O461" s="41"/>
      <c r="P461" s="41"/>
      <c r="Q461" s="41"/>
    </row>
    <row collapsed="false" customFormat="false" customHeight="true" hidden="false" ht="11.4" outlineLevel="0" r="462">
      <c r="B462" s="42"/>
      <c r="C462" s="43"/>
      <c r="D462" s="169" t="e">
        <f aca="false">IF(OR(D382="",E382=""),"",D382)</f>
        <v>#VALUE!</v>
      </c>
      <c r="E462" s="169" t="e">
        <f aca="false">IF(OR(E382="",D382=""),"",E382)</f>
        <v>#VALUE!</v>
      </c>
      <c r="F462" s="223" t="e">
        <f aca="false">IF(OR(D462="",E462=""),"",RANK(D462,xi,1)+(COUNTIF(xi,D462)-1)/2)</f>
        <v>#VALUE!</v>
      </c>
      <c r="G462" s="225" t="e">
        <f aca="false">IF(OR(E462="",F462=""),"",RANK(E462,yi,1)+(COUNTIF(yi,E462)-1)/2)</f>
        <v>#VALUE!</v>
      </c>
      <c r="H462" s="224" t="e">
        <f aca="false">IF(OR(F462="",G462=""),"",F462*G462)</f>
        <v>#VALUE!</v>
      </c>
      <c r="I462" s="224" t="e">
        <f aca="false">IF(OR(F462="",G462=""),"",F462^2)</f>
        <v>#VALUE!</v>
      </c>
      <c r="J462" s="224" t="e">
        <f aca="false">IF(OR(F462="",G462=""),"",G462^2)</f>
        <v>#VALUE!</v>
      </c>
      <c r="L462" s="61"/>
      <c r="M462" s="41"/>
      <c r="N462" s="41"/>
      <c r="O462" s="41"/>
      <c r="P462" s="41"/>
      <c r="Q462" s="41"/>
    </row>
    <row collapsed="false" customFormat="false" customHeight="true" hidden="false" ht="11.4" outlineLevel="0" r="463">
      <c r="B463" s="42"/>
      <c r="C463" s="43"/>
      <c r="D463" s="169" t="e">
        <f aca="false">IF(OR(D383="",E383=""),"",D383)</f>
        <v>#VALUE!</v>
      </c>
      <c r="E463" s="169" t="e">
        <f aca="false">IF(OR(E383="",D383=""),"",E383)</f>
        <v>#VALUE!</v>
      </c>
      <c r="F463" s="223" t="e">
        <f aca="false">IF(OR(D463="",E463=""),"",RANK(D463,xi,1)+(COUNTIF(xi,D463)-1)/2)</f>
        <v>#VALUE!</v>
      </c>
      <c r="G463" s="225" t="e">
        <f aca="false">IF(OR(E463="",F463=""),"",RANK(E463,yi,1)+(COUNTIF(yi,E463)-1)/2)</f>
        <v>#VALUE!</v>
      </c>
      <c r="H463" s="224" t="e">
        <f aca="false">IF(OR(F463="",G463=""),"",F463*G463)</f>
        <v>#VALUE!</v>
      </c>
      <c r="I463" s="224" t="e">
        <f aca="false">IF(OR(F463="",G463=""),"",F463^2)</f>
        <v>#VALUE!</v>
      </c>
      <c r="J463" s="224" t="e">
        <f aca="false">IF(OR(F463="",G463=""),"",G463^2)</f>
        <v>#VALUE!</v>
      </c>
      <c r="L463" s="41"/>
      <c r="M463" s="41"/>
      <c r="N463" s="41"/>
      <c r="O463" s="41"/>
      <c r="P463" s="41"/>
      <c r="Q463" s="41"/>
    </row>
    <row collapsed="false" customFormat="false" customHeight="true" hidden="false" ht="11.4" outlineLevel="0" r="464">
      <c r="B464" s="42"/>
      <c r="C464" s="43"/>
      <c r="D464" s="169" t="e">
        <f aca="false">IF(OR(D384="",E384=""),"",D384)</f>
        <v>#VALUE!</v>
      </c>
      <c r="E464" s="169" t="e">
        <f aca="false">IF(OR(E384="",D384=""),"",E384)</f>
        <v>#VALUE!</v>
      </c>
      <c r="F464" s="223" t="e">
        <f aca="false">IF(OR(D464="",E464=""),"",RANK(D464,xi,1)+(COUNTIF(xi,D464)-1)/2)</f>
        <v>#VALUE!</v>
      </c>
      <c r="G464" s="225" t="e">
        <f aca="false">IF(OR(E464="",F464=""),"",RANK(E464,yi,1)+(COUNTIF(yi,E464)-1)/2)</f>
        <v>#VALUE!</v>
      </c>
      <c r="H464" s="224" t="e">
        <f aca="false">IF(OR(F464="",G464=""),"",F464*G464)</f>
        <v>#VALUE!</v>
      </c>
      <c r="I464" s="224" t="e">
        <f aca="false">IF(OR(F464="",G464=""),"",F464^2)</f>
        <v>#VALUE!</v>
      </c>
      <c r="J464" s="224" t="e">
        <f aca="false">IF(OR(F464="",G464=""),"",G464^2)</f>
        <v>#VALUE!</v>
      </c>
      <c r="L464" s="41"/>
      <c r="M464" s="41"/>
      <c r="N464" s="41"/>
      <c r="O464" s="41"/>
      <c r="P464" s="41"/>
      <c r="Q464" s="41"/>
    </row>
    <row collapsed="false" customFormat="false" customHeight="true" hidden="false" ht="11.4" outlineLevel="0" r="465">
      <c r="B465" s="42"/>
      <c r="C465" s="43"/>
      <c r="D465" s="169" t="e">
        <f aca="false">IF(OR(D385="",E385=""),"",D385)</f>
        <v>#VALUE!</v>
      </c>
      <c r="E465" s="169" t="e">
        <f aca="false">IF(OR(E385="",D385=""),"",E385)</f>
        <v>#VALUE!</v>
      </c>
      <c r="F465" s="223" t="e">
        <f aca="false">IF(OR(D465="",E465=""),"",RANK(D465,xi,1)+(COUNTIF(xi,D465)-1)/2)</f>
        <v>#VALUE!</v>
      </c>
      <c r="G465" s="225" t="e">
        <f aca="false">IF(OR(E465="",F465=""),"",RANK(E465,yi,1)+(COUNTIF(yi,E465)-1)/2)</f>
        <v>#VALUE!</v>
      </c>
      <c r="H465" s="224" t="e">
        <f aca="false">IF(OR(F465="",G465=""),"",F465*G465)</f>
        <v>#VALUE!</v>
      </c>
      <c r="I465" s="224" t="e">
        <f aca="false">IF(OR(F465="",G465=""),"",F465^2)</f>
        <v>#VALUE!</v>
      </c>
      <c r="J465" s="224" t="e">
        <f aca="false">IF(OR(F465="",G465=""),"",G465^2)</f>
        <v>#VALUE!</v>
      </c>
      <c r="L465" s="41"/>
      <c r="M465" s="41"/>
      <c r="N465" s="41"/>
      <c r="O465" s="41"/>
      <c r="P465" s="41"/>
      <c r="Q465" s="41"/>
    </row>
    <row collapsed="false" customFormat="false" customHeight="true" hidden="false" ht="11.4" outlineLevel="0" r="466">
      <c r="B466" s="42"/>
      <c r="C466" s="43"/>
      <c r="D466" s="169" t="e">
        <f aca="false">IF(OR(D386="",E386=""),"",D386)</f>
        <v>#VALUE!</v>
      </c>
      <c r="E466" s="169" t="e">
        <f aca="false">IF(OR(E386="",D386=""),"",E386)</f>
        <v>#VALUE!</v>
      </c>
      <c r="F466" s="223" t="e">
        <f aca="false">IF(OR(D466="",E466=""),"",RANK(D466,xi,1)+(COUNTIF(xi,D466)-1)/2)</f>
        <v>#VALUE!</v>
      </c>
      <c r="G466" s="225" t="e">
        <f aca="false">IF(OR(E466="",F466=""),"",RANK(E466,yi,1)+(COUNTIF(yi,E466)-1)/2)</f>
        <v>#VALUE!</v>
      </c>
      <c r="H466" s="224" t="e">
        <f aca="false">IF(OR(F466="",G466=""),"",F466*G466)</f>
        <v>#VALUE!</v>
      </c>
      <c r="I466" s="224" t="e">
        <f aca="false">IF(OR(F466="",G466=""),"",F466^2)</f>
        <v>#VALUE!</v>
      </c>
      <c r="J466" s="224" t="e">
        <f aca="false">IF(OR(F466="",G466=""),"",G466^2)</f>
        <v>#VALUE!</v>
      </c>
      <c r="L466" s="41"/>
      <c r="M466" s="41"/>
      <c r="N466" s="41"/>
      <c r="O466" s="41"/>
      <c r="P466" s="41"/>
      <c r="Q466" s="41"/>
    </row>
    <row collapsed="false" customFormat="false" customHeight="true" hidden="false" ht="11.4" outlineLevel="0" r="467">
      <c r="B467" s="42"/>
      <c r="C467" s="43"/>
      <c r="D467" s="169" t="e">
        <f aca="false">IF(OR(D387="",E387=""),"",D387)</f>
        <v>#VALUE!</v>
      </c>
      <c r="E467" s="169" t="e">
        <f aca="false">IF(OR(E387="",D387=""),"",E387)</f>
        <v>#VALUE!</v>
      </c>
      <c r="F467" s="223" t="e">
        <f aca="false">IF(OR(D467="",E467=""),"",RANK(D467,xi,1)+(COUNTIF(xi,D467)-1)/2)</f>
        <v>#VALUE!</v>
      </c>
      <c r="G467" s="225" t="e">
        <f aca="false">IF(OR(E467="",F467=""),"",RANK(E467,yi,1)+(COUNTIF(yi,E467)-1)/2)</f>
        <v>#VALUE!</v>
      </c>
      <c r="H467" s="224" t="e">
        <f aca="false">IF(OR(F467="",G467=""),"",F467*G467)</f>
        <v>#VALUE!</v>
      </c>
      <c r="I467" s="224" t="e">
        <f aca="false">IF(OR(F467="",G467=""),"",F467^2)</f>
        <v>#VALUE!</v>
      </c>
      <c r="J467" s="224" t="e">
        <f aca="false">IF(OR(F467="",G467=""),"",G467^2)</f>
        <v>#VALUE!</v>
      </c>
      <c r="L467" s="41"/>
      <c r="M467" s="41"/>
      <c r="N467" s="41"/>
      <c r="O467" s="41"/>
      <c r="P467" s="41"/>
      <c r="Q467" s="41"/>
    </row>
    <row collapsed="false" customFormat="false" customHeight="true" hidden="false" ht="11.4" outlineLevel="0" r="468">
      <c r="B468" s="42"/>
      <c r="C468" s="43"/>
      <c r="D468" s="169" t="e">
        <f aca="false">IF(OR(D388="",E388=""),"",D388)</f>
        <v>#VALUE!</v>
      </c>
      <c r="E468" s="169" t="e">
        <f aca="false">IF(OR(E388="",D388=""),"",E388)</f>
        <v>#VALUE!</v>
      </c>
      <c r="F468" s="223" t="e">
        <f aca="false">IF(OR(D468="",E468=""),"",RANK(D468,xi,1)+(COUNTIF(xi,D468)-1)/2)</f>
        <v>#VALUE!</v>
      </c>
      <c r="G468" s="225" t="e">
        <f aca="false">IF(OR(E468="",F468=""),"",RANK(E468,yi,1)+(COUNTIF(yi,E468)-1)/2)</f>
        <v>#VALUE!</v>
      </c>
      <c r="H468" s="224" t="e">
        <f aca="false">IF(OR(F468="",G468=""),"",F468*G468)</f>
        <v>#VALUE!</v>
      </c>
      <c r="I468" s="224" t="e">
        <f aca="false">IF(OR(F468="",G468=""),"",F468^2)</f>
        <v>#VALUE!</v>
      </c>
      <c r="J468" s="224" t="e">
        <f aca="false">IF(OR(F468="",G468=""),"",G468^2)</f>
        <v>#VALUE!</v>
      </c>
      <c r="L468" s="41"/>
      <c r="M468" s="41"/>
      <c r="N468" s="41"/>
      <c r="O468" s="41"/>
      <c r="P468" s="41"/>
      <c r="Q468" s="41"/>
    </row>
    <row collapsed="false" customFormat="false" customHeight="true" hidden="false" ht="11.4" outlineLevel="0" r="469">
      <c r="B469" s="42"/>
      <c r="C469" s="43"/>
      <c r="D469" s="169" t="e">
        <f aca="false">IF(OR(D389="",E389=""),"",D389)</f>
        <v>#VALUE!</v>
      </c>
      <c r="E469" s="169" t="e">
        <f aca="false">IF(OR(E389="",D389=""),"",E389)</f>
        <v>#VALUE!</v>
      </c>
      <c r="F469" s="223" t="e">
        <f aca="false">IF(OR(D469="",E469=""),"",RANK(D469,xi,1)+(COUNTIF(xi,D469)-1)/2)</f>
        <v>#VALUE!</v>
      </c>
      <c r="G469" s="225" t="e">
        <f aca="false">IF(OR(E469="",F469=""),"",RANK(E469,yi,1)+(COUNTIF(yi,E469)-1)/2)</f>
        <v>#VALUE!</v>
      </c>
      <c r="H469" s="224" t="e">
        <f aca="false">IF(OR(F469="",G469=""),"",F469*G469)</f>
        <v>#VALUE!</v>
      </c>
      <c r="I469" s="224" t="e">
        <f aca="false">IF(OR(F469="",G469=""),"",F469^2)</f>
        <v>#VALUE!</v>
      </c>
      <c r="J469" s="224" t="e">
        <f aca="false">IF(OR(F469="",G469=""),"",G469^2)</f>
        <v>#VALUE!</v>
      </c>
      <c r="L469" s="41"/>
      <c r="M469" s="41"/>
      <c r="N469" s="41"/>
      <c r="O469" s="41"/>
      <c r="P469" s="41"/>
      <c r="Q469" s="41"/>
    </row>
    <row collapsed="false" customFormat="false" customHeight="true" hidden="false" ht="11.4" outlineLevel="0" r="470">
      <c r="B470" s="42"/>
      <c r="C470" s="43"/>
      <c r="D470" s="169" t="e">
        <f aca="false">IF(OR(D390="",E390=""),"",D390)</f>
        <v>#VALUE!</v>
      </c>
      <c r="E470" s="169" t="e">
        <f aca="false">IF(OR(E390="",D390=""),"",E390)</f>
        <v>#VALUE!</v>
      </c>
      <c r="F470" s="223" t="e">
        <f aca="false">IF(OR(D470="",E470=""),"",RANK(D470,xi,1)+(COUNTIF(xi,D470)-1)/2)</f>
        <v>#VALUE!</v>
      </c>
      <c r="G470" s="225" t="e">
        <f aca="false">IF(OR(E470="",F470=""),"",RANK(E470,yi,1)+(COUNTIF(yi,E470)-1)/2)</f>
        <v>#VALUE!</v>
      </c>
      <c r="H470" s="224" t="e">
        <f aca="false">IF(OR(F470="",G470=""),"",F470*G470)</f>
        <v>#VALUE!</v>
      </c>
      <c r="I470" s="224" t="e">
        <f aca="false">IF(OR(F470="",G470=""),"",F470^2)</f>
        <v>#VALUE!</v>
      </c>
      <c r="J470" s="224" t="e">
        <f aca="false">IF(OR(F470="",G470=""),"",G470^2)</f>
        <v>#VALUE!</v>
      </c>
      <c r="L470" s="41"/>
      <c r="M470" s="61"/>
      <c r="N470" s="61"/>
      <c r="O470" s="61"/>
      <c r="P470" s="61"/>
      <c r="Q470" s="61"/>
    </row>
    <row collapsed="false" customFormat="false" customHeight="true" hidden="false" ht="11.4" outlineLevel="0" r="471">
      <c r="B471" s="42"/>
      <c r="C471" s="43"/>
      <c r="D471" s="169" t="e">
        <f aca="false">IF(OR(D391="",E391=""),"",D391)</f>
        <v>#VALUE!</v>
      </c>
      <c r="E471" s="169" t="e">
        <f aca="false">IF(OR(E391="",D391=""),"",E391)</f>
        <v>#VALUE!</v>
      </c>
      <c r="F471" s="223" t="e">
        <f aca="false">IF(OR(D471="",E471=""),"",RANK(D471,xi,1)+(COUNTIF(xi,D471)-1)/2)</f>
        <v>#VALUE!</v>
      </c>
      <c r="G471" s="225" t="e">
        <f aca="false">IF(OR(E471="",F471=""),"",RANK(E471,yi,1)+(COUNTIF(yi,E471)-1)/2)</f>
        <v>#VALUE!</v>
      </c>
      <c r="H471" s="224" t="e">
        <f aca="false">IF(OR(F471="",G471=""),"",F471*G471)</f>
        <v>#VALUE!</v>
      </c>
      <c r="I471" s="224" t="e">
        <f aca="false">IF(OR(F471="",G471=""),"",F471^2)</f>
        <v>#VALUE!</v>
      </c>
      <c r="J471" s="224" t="e">
        <f aca="false">IF(OR(F471="",G471=""),"",G471^2)</f>
        <v>#VALUE!</v>
      </c>
      <c r="L471" s="41"/>
      <c r="M471" s="61"/>
      <c r="N471" s="61"/>
      <c r="O471" s="61"/>
      <c r="P471" s="61"/>
      <c r="Q471" s="61"/>
    </row>
    <row collapsed="false" customFormat="false" customHeight="true" hidden="false" ht="11.4" outlineLevel="0" r="472">
      <c r="B472" s="42"/>
      <c r="C472" s="43"/>
      <c r="D472" s="169" t="e">
        <f aca="false">IF(OR(D392="",E392=""),"",D392)</f>
        <v>#VALUE!</v>
      </c>
      <c r="E472" s="169" t="e">
        <f aca="false">IF(OR(E392="",D392=""),"",E392)</f>
        <v>#VALUE!</v>
      </c>
      <c r="F472" s="223" t="e">
        <f aca="false">IF(OR(D472="",E472=""),"",RANK(D472,xi,1)+(COUNTIF(xi,D472)-1)/2)</f>
        <v>#VALUE!</v>
      </c>
      <c r="G472" s="225" t="e">
        <f aca="false">IF(OR(E472="",F472=""),"",RANK(E472,yi,1)+(COUNTIF(yi,E472)-1)/2)</f>
        <v>#VALUE!</v>
      </c>
      <c r="H472" s="224" t="e">
        <f aca="false">IF(OR(F472="",G472=""),"",F472*G472)</f>
        <v>#VALUE!</v>
      </c>
      <c r="I472" s="224" t="e">
        <f aca="false">IF(OR(F472="",G472=""),"",F472^2)</f>
        <v>#VALUE!</v>
      </c>
      <c r="J472" s="224" t="e">
        <f aca="false">IF(OR(F472="",G472=""),"",G472^2)</f>
        <v>#VALUE!</v>
      </c>
      <c r="L472" s="41"/>
      <c r="M472" s="41"/>
      <c r="N472" s="41"/>
      <c r="O472" s="41"/>
      <c r="P472" s="41"/>
      <c r="Q472" s="41"/>
    </row>
    <row collapsed="false" customFormat="false" customHeight="true" hidden="false" ht="11.4" outlineLevel="0" r="473">
      <c r="B473" s="7"/>
      <c r="C473" s="7"/>
      <c r="D473" s="169" t="e">
        <f aca="false">IF(OR(D393="",E393=""),"",D393)</f>
        <v>#VALUE!</v>
      </c>
      <c r="E473" s="169" t="e">
        <f aca="false">IF(OR(E393="",D393=""),"",E393)</f>
        <v>#VALUE!</v>
      </c>
      <c r="F473" s="223" t="e">
        <f aca="false">IF(OR(D473="",E473=""),"",RANK(D473,xi,1)+(COUNTIF(xi,D473)-1)/2)</f>
        <v>#VALUE!</v>
      </c>
      <c r="G473" s="225" t="e">
        <f aca="false">IF(OR(E473="",F473=""),"",RANK(E473,yi,1)+(COUNTIF(yi,E473)-1)/2)</f>
        <v>#VALUE!</v>
      </c>
      <c r="H473" s="224" t="e">
        <f aca="false">IF(OR(F473="",G473=""),"",F473*G473)</f>
        <v>#VALUE!</v>
      </c>
      <c r="I473" s="224" t="e">
        <f aca="false">IF(OR(F473="",G473=""),"",F473^2)</f>
        <v>#VALUE!</v>
      </c>
      <c r="J473" s="224" t="e">
        <f aca="false">IF(OR(F473="",G473=""),"",G473^2)</f>
        <v>#VALUE!</v>
      </c>
      <c r="L473" s="41"/>
      <c r="M473" s="41"/>
      <c r="N473" s="41"/>
      <c r="O473" s="41"/>
      <c r="P473" s="41"/>
      <c r="Q473" s="41"/>
    </row>
    <row collapsed="false" customFormat="false" customHeight="true" hidden="false" ht="11.4" outlineLevel="0" r="474">
      <c r="B474" s="42"/>
      <c r="C474" s="43"/>
      <c r="D474" s="169" t="e">
        <f aca="false">IF(OR(D394="",E394=""),"",D394)</f>
        <v>#VALUE!</v>
      </c>
      <c r="E474" s="169" t="e">
        <f aca="false">IF(OR(E394="",D394=""),"",E394)</f>
        <v>#VALUE!</v>
      </c>
      <c r="F474" s="223" t="e">
        <f aca="false">IF(OR(D474="",E474=""),"",RANK(D474,xi,1)+(COUNTIF(xi,D474)-1)/2)</f>
        <v>#VALUE!</v>
      </c>
      <c r="G474" s="225" t="e">
        <f aca="false">IF(OR(E474="",F474=""),"",RANK(E474,yi,1)+(COUNTIF(yi,E474)-1)/2)</f>
        <v>#VALUE!</v>
      </c>
      <c r="H474" s="224" t="e">
        <f aca="false">IF(OR(F474="",G474=""),"",F474*G474)</f>
        <v>#VALUE!</v>
      </c>
      <c r="I474" s="224" t="e">
        <f aca="false">IF(OR(F474="",G474=""),"",F474^2)</f>
        <v>#VALUE!</v>
      </c>
      <c r="J474" s="224" t="e">
        <f aca="false">IF(OR(F474="",G474=""),"",G474^2)</f>
        <v>#VALUE!</v>
      </c>
      <c r="L474" s="41"/>
      <c r="M474" s="41"/>
      <c r="N474" s="41"/>
      <c r="O474" s="41"/>
      <c r="P474" s="41"/>
      <c r="Q474" s="41"/>
    </row>
    <row collapsed="false" customFormat="false" customHeight="true" hidden="false" ht="11.4" outlineLevel="0" r="475">
      <c r="B475" s="42"/>
      <c r="C475" s="43"/>
      <c r="D475" s="169" t="e">
        <f aca="false">IF(OR(D395="",E395=""),"",D395)</f>
        <v>#VALUE!</v>
      </c>
      <c r="E475" s="169" t="e">
        <f aca="false">IF(OR(E395="",D395=""),"",E395)</f>
        <v>#VALUE!</v>
      </c>
      <c r="F475" s="223" t="e">
        <f aca="false">IF(OR(D475="",E475=""),"",RANK(D475,xi,1)+(COUNTIF(xi,D475)-1)/2)</f>
        <v>#VALUE!</v>
      </c>
      <c r="G475" s="225" t="e">
        <f aca="false">IF(OR(E475="",F475=""),"",RANK(E475,yi,1)+(COUNTIF(yi,E475)-1)/2)</f>
        <v>#VALUE!</v>
      </c>
      <c r="H475" s="224" t="e">
        <f aca="false">IF(OR(F475="",G475=""),"",F475*G475)</f>
        <v>#VALUE!</v>
      </c>
      <c r="I475" s="224" t="e">
        <f aca="false">IF(OR(F475="",G475=""),"",F475^2)</f>
        <v>#VALUE!</v>
      </c>
      <c r="J475" s="224" t="e">
        <f aca="false">IF(OR(F475="",G475=""),"",G475^2)</f>
        <v>#VALUE!</v>
      </c>
      <c r="L475" s="41"/>
      <c r="M475" s="41"/>
      <c r="N475" s="41"/>
      <c r="O475" s="41"/>
      <c r="P475" s="41"/>
      <c r="Q475" s="41"/>
    </row>
    <row collapsed="false" customFormat="false" customHeight="true" hidden="false" ht="11.4" outlineLevel="0" r="476">
      <c r="B476" s="42"/>
      <c r="C476" s="43"/>
      <c r="D476" s="169" t="e">
        <f aca="false">IF(OR(D396="",E396=""),"",D396)</f>
        <v>#VALUE!</v>
      </c>
      <c r="E476" s="169" t="e">
        <f aca="false">IF(OR(E396="",D396=""),"",E396)</f>
        <v>#VALUE!</v>
      </c>
      <c r="F476" s="223" t="e">
        <f aca="false">IF(OR(D476="",E476=""),"",RANK(D476,xi,1)+(COUNTIF(xi,D476)-1)/2)</f>
        <v>#VALUE!</v>
      </c>
      <c r="G476" s="225" t="e">
        <f aca="false">IF(OR(E476="",F476=""),"",RANK(E476,yi,1)+(COUNTIF(yi,E476)-1)/2)</f>
        <v>#VALUE!</v>
      </c>
      <c r="H476" s="224" t="e">
        <f aca="false">IF(OR(F476="",G476=""),"",F476*G476)</f>
        <v>#VALUE!</v>
      </c>
      <c r="I476" s="224" t="e">
        <f aca="false">IF(OR(F476="",G476=""),"",F476^2)</f>
        <v>#VALUE!</v>
      </c>
      <c r="J476" s="224" t="e">
        <f aca="false">IF(OR(F476="",G476=""),"",G476^2)</f>
        <v>#VALUE!</v>
      </c>
      <c r="L476" s="41"/>
      <c r="M476" s="41"/>
      <c r="N476" s="41"/>
      <c r="O476" s="41"/>
      <c r="P476" s="41"/>
      <c r="Q476" s="41"/>
    </row>
    <row collapsed="false" customFormat="false" customHeight="true" hidden="false" ht="11.4" outlineLevel="0" r="477">
      <c r="B477" s="42"/>
      <c r="C477" s="43"/>
      <c r="D477" s="169" t="e">
        <f aca="false">IF(OR(D397="",E397=""),"",D397)</f>
        <v>#VALUE!</v>
      </c>
      <c r="E477" s="169" t="e">
        <f aca="false">IF(OR(E397="",D397=""),"",E397)</f>
        <v>#VALUE!</v>
      </c>
      <c r="F477" s="223" t="e">
        <f aca="false">IF(OR(D477="",E477=""),"",RANK(D477,xi,1)+(COUNTIF(xi,D477)-1)/2)</f>
        <v>#VALUE!</v>
      </c>
      <c r="G477" s="225" t="e">
        <f aca="false">IF(OR(E477="",F477=""),"",RANK(E477,yi,1)+(COUNTIF(yi,E477)-1)/2)</f>
        <v>#VALUE!</v>
      </c>
      <c r="H477" s="224" t="e">
        <f aca="false">IF(OR(F477="",G477=""),"",F477*G477)</f>
        <v>#VALUE!</v>
      </c>
      <c r="I477" s="224" t="e">
        <f aca="false">IF(OR(F477="",G477=""),"",F477^2)</f>
        <v>#VALUE!</v>
      </c>
      <c r="J477" s="224" t="e">
        <f aca="false">IF(OR(F477="",G477=""),"",G477^2)</f>
        <v>#VALUE!</v>
      </c>
      <c r="L477" s="41"/>
      <c r="M477" s="41"/>
      <c r="N477" s="41"/>
      <c r="O477" s="41"/>
      <c r="P477" s="41"/>
      <c r="Q477" s="41"/>
    </row>
    <row collapsed="false" customFormat="false" customHeight="true" hidden="false" ht="11.4" outlineLevel="0" r="478">
      <c r="B478" s="42"/>
      <c r="C478" s="43"/>
      <c r="D478" s="169" t="e">
        <f aca="false">IF(OR(D398="",E398=""),"",D398)</f>
        <v>#VALUE!</v>
      </c>
      <c r="E478" s="169" t="e">
        <f aca="false">IF(OR(E398="",D398=""),"",E398)</f>
        <v>#VALUE!</v>
      </c>
      <c r="F478" s="223" t="e">
        <f aca="false">IF(OR(D478="",E478=""),"",RANK(D478,xi,1)+(COUNTIF(xi,D478)-1)/2)</f>
        <v>#VALUE!</v>
      </c>
      <c r="G478" s="225" t="e">
        <f aca="false">IF(OR(E478="",F478=""),"",RANK(E478,yi,1)+(COUNTIF(yi,E478)-1)/2)</f>
        <v>#VALUE!</v>
      </c>
      <c r="H478" s="224" t="e">
        <f aca="false">IF(OR(F478="",G478=""),"",F478*G478)</f>
        <v>#VALUE!</v>
      </c>
      <c r="I478" s="224" t="e">
        <f aca="false">IF(OR(F478="",G478=""),"",F478^2)</f>
        <v>#VALUE!</v>
      </c>
      <c r="J478" s="224" t="e">
        <f aca="false">IF(OR(F478="",G478=""),"",G478^2)</f>
        <v>#VALUE!</v>
      </c>
      <c r="L478" s="41"/>
      <c r="M478" s="41"/>
      <c r="N478" s="41"/>
      <c r="O478" s="41"/>
      <c r="P478" s="41"/>
      <c r="Q478" s="41"/>
    </row>
    <row collapsed="false" customFormat="false" customHeight="true" hidden="false" ht="11.4" outlineLevel="0" r="479">
      <c r="B479" s="7"/>
      <c r="C479" s="216"/>
      <c r="D479" s="169" t="e">
        <f aca="false">IF(OR(D399="",E399=""),"",D399)</f>
        <v>#VALUE!</v>
      </c>
      <c r="E479" s="169" t="e">
        <f aca="false">IF(OR(E399="",D399=""),"",E399)</f>
        <v>#VALUE!</v>
      </c>
      <c r="F479" s="223" t="e">
        <f aca="false">IF(OR(D479="",E479=""),"",RANK(D479,xi,1)+(COUNTIF(xi,D479)-1)/2)</f>
        <v>#VALUE!</v>
      </c>
      <c r="G479" s="225" t="e">
        <f aca="false">IF(OR(E479="",F479=""),"",RANK(E479,yi,1)+(COUNTIF(yi,E479)-1)/2)</f>
        <v>#VALUE!</v>
      </c>
      <c r="H479" s="224" t="e">
        <f aca="false">IF(OR(F479="",G479=""),"",F479*G479)</f>
        <v>#VALUE!</v>
      </c>
      <c r="I479" s="224" t="e">
        <f aca="false">IF(OR(F479="",G479=""),"",F479^2)</f>
        <v>#VALUE!</v>
      </c>
      <c r="J479" s="224" t="e">
        <f aca="false">IF(OR(F479="",G479=""),"",G479^2)</f>
        <v>#VALUE!</v>
      </c>
      <c r="L479" s="41"/>
      <c r="M479" s="41"/>
      <c r="N479" s="41"/>
      <c r="O479" s="41"/>
      <c r="P479" s="41"/>
      <c r="Q479" s="41"/>
    </row>
    <row collapsed="false" customFormat="false" customHeight="true" hidden="false" ht="11.4" outlineLevel="0" r="480">
      <c r="B480" s="42"/>
      <c r="C480" s="43"/>
      <c r="D480" s="169" t="e">
        <f aca="false">IF(OR(D400="",E400=""),"",D400)</f>
        <v>#VALUE!</v>
      </c>
      <c r="E480" s="169" t="e">
        <f aca="false">IF(OR(E400="",D400=""),"",E400)</f>
        <v>#VALUE!</v>
      </c>
      <c r="F480" s="223" t="e">
        <f aca="false">IF(OR(D480="",E480=""),"",RANK(D480,xi,1)+(COUNTIF(xi,D480)-1)/2)</f>
        <v>#VALUE!</v>
      </c>
      <c r="G480" s="225" t="e">
        <f aca="false">IF(OR(E480="",F480=""),"",RANK(E480,yi,1)+(COUNTIF(yi,E480)-1)/2)</f>
        <v>#VALUE!</v>
      </c>
      <c r="H480" s="224" t="e">
        <f aca="false">IF(OR(F480="",G480=""),"",F480*G480)</f>
        <v>#VALUE!</v>
      </c>
      <c r="I480" s="224" t="e">
        <f aca="false">IF(OR(F480="",G480=""),"",F480^2)</f>
        <v>#VALUE!</v>
      </c>
      <c r="J480" s="224" t="e">
        <f aca="false">IF(OR(F480="",G480=""),"",G480^2)</f>
        <v>#VALUE!</v>
      </c>
      <c r="L480" s="41"/>
      <c r="M480" s="41"/>
      <c r="N480" s="41"/>
      <c r="O480" s="41"/>
      <c r="P480" s="41"/>
      <c r="Q480" s="41"/>
    </row>
    <row collapsed="false" customFormat="false" customHeight="true" hidden="false" ht="11.4" outlineLevel="0" r="481">
      <c r="B481" s="42"/>
      <c r="C481" s="43"/>
      <c r="D481" s="169" t="e">
        <f aca="false">IF(OR(D401="",E401=""),"",D401)</f>
        <v>#VALUE!</v>
      </c>
      <c r="E481" s="169" t="e">
        <f aca="false">IF(OR(E401="",D401=""),"",E401)</f>
        <v>#VALUE!</v>
      </c>
      <c r="F481" s="223" t="e">
        <f aca="false">IF(OR(D481="",E481=""),"",RANK(D481,xi,1)+(COUNTIF(xi,D481)-1)/2)</f>
        <v>#VALUE!</v>
      </c>
      <c r="G481" s="225" t="e">
        <f aca="false">IF(OR(E481="",F481=""),"",RANK(E481,yi,1)+(COUNTIF(yi,E481)-1)/2)</f>
        <v>#VALUE!</v>
      </c>
      <c r="H481" s="224" t="e">
        <f aca="false">IF(OR(F481="",G481=""),"",F481*G481)</f>
        <v>#VALUE!</v>
      </c>
      <c r="I481" s="224" t="e">
        <f aca="false">IF(OR(F481="",G481=""),"",F481^2)</f>
        <v>#VALUE!</v>
      </c>
      <c r="J481" s="224" t="e">
        <f aca="false">IF(OR(F481="",G481=""),"",G481^2)</f>
        <v>#VALUE!</v>
      </c>
      <c r="L481" s="41"/>
      <c r="M481" s="41"/>
      <c r="N481" s="41"/>
      <c r="O481" s="41"/>
      <c r="P481" s="41"/>
      <c r="Q481" s="41"/>
    </row>
    <row collapsed="false" customFormat="false" customHeight="true" hidden="false" ht="11.4" outlineLevel="0" r="482">
      <c r="B482" s="42"/>
      <c r="C482" s="43"/>
      <c r="D482" s="169" t="e">
        <f aca="false">IF(OR(D402="",E402=""),"",D402)</f>
        <v>#VALUE!</v>
      </c>
      <c r="E482" s="169" t="e">
        <f aca="false">IF(OR(E402="",D402=""),"",E402)</f>
        <v>#VALUE!</v>
      </c>
      <c r="F482" s="223" t="e">
        <f aca="false">IF(OR(D482="",E482=""),"",RANK(D482,xi,1)+(COUNTIF(xi,D482)-1)/2)</f>
        <v>#VALUE!</v>
      </c>
      <c r="G482" s="225" t="e">
        <f aca="false">IF(OR(E482="",F482=""),"",RANK(E482,yi,1)+(COUNTIF(yi,E482)-1)/2)</f>
        <v>#VALUE!</v>
      </c>
      <c r="H482" s="224" t="e">
        <f aca="false">IF(OR(F482="",G482=""),"",F482*G482)</f>
        <v>#VALUE!</v>
      </c>
      <c r="I482" s="224" t="e">
        <f aca="false">IF(OR(F482="",G482=""),"",F482^2)</f>
        <v>#VALUE!</v>
      </c>
      <c r="J482" s="224" t="e">
        <f aca="false">IF(OR(F482="",G482=""),"",G482^2)</f>
        <v>#VALUE!</v>
      </c>
      <c r="L482" s="41"/>
      <c r="M482" s="41"/>
      <c r="N482" s="41"/>
      <c r="O482" s="41"/>
      <c r="P482" s="41"/>
      <c r="Q482" s="41"/>
    </row>
    <row collapsed="false" customFormat="false" customHeight="true" hidden="false" ht="11.4" outlineLevel="0" r="483">
      <c r="B483" s="42"/>
      <c r="C483" s="43"/>
      <c r="D483" s="169" t="e">
        <f aca="false">IF(OR(D403="",E403=""),"",D403)</f>
        <v>#VALUE!</v>
      </c>
      <c r="E483" s="169" t="e">
        <f aca="false">IF(OR(E403="",D403=""),"",E403)</f>
        <v>#VALUE!</v>
      </c>
      <c r="F483" s="223" t="e">
        <f aca="false">IF(OR(D483="",E483=""),"",RANK(D483,xi,1)+(COUNTIF(xi,D483)-1)/2)</f>
        <v>#VALUE!</v>
      </c>
      <c r="G483" s="225" t="e">
        <f aca="false">IF(OR(E483="",F483=""),"",RANK(E483,yi,1)+(COUNTIF(yi,E483)-1)/2)</f>
        <v>#VALUE!</v>
      </c>
      <c r="H483" s="224" t="e">
        <f aca="false">IF(OR(F483="",G483=""),"",F483*G483)</f>
        <v>#VALUE!</v>
      </c>
      <c r="I483" s="224" t="e">
        <f aca="false">IF(OR(F483="",G483=""),"",F483^2)</f>
        <v>#VALUE!</v>
      </c>
      <c r="J483" s="224" t="e">
        <f aca="false">IF(OR(F483="",G483=""),"",G483^2)</f>
        <v>#VALUE!</v>
      </c>
      <c r="L483" s="41"/>
      <c r="M483" s="41"/>
      <c r="N483" s="41"/>
      <c r="O483" s="41"/>
      <c r="P483" s="41"/>
      <c r="Q483" s="41"/>
    </row>
    <row collapsed="false" customFormat="false" customHeight="true" hidden="false" ht="11.4" outlineLevel="0" r="484">
      <c r="B484" s="42"/>
      <c r="C484" s="43"/>
      <c r="D484" s="169" t="e">
        <f aca="false">IF(OR(D404="",E404=""),"",D404)</f>
        <v>#VALUE!</v>
      </c>
      <c r="E484" s="169" t="e">
        <f aca="false">IF(OR(E404="",D404=""),"",E404)</f>
        <v>#VALUE!</v>
      </c>
      <c r="F484" s="223" t="e">
        <f aca="false">IF(OR(D484="",E484=""),"",RANK(D484,xi,1)+(COUNTIF(xi,D484)-1)/2)</f>
        <v>#VALUE!</v>
      </c>
      <c r="G484" s="225" t="e">
        <f aca="false">IF(OR(E484="",F484=""),"",RANK(E484,yi,1)+(COUNTIF(yi,E484)-1)/2)</f>
        <v>#VALUE!</v>
      </c>
      <c r="H484" s="224" t="e">
        <f aca="false">IF(OR(F484="",G484=""),"",F484*G484)</f>
        <v>#VALUE!</v>
      </c>
      <c r="I484" s="224" t="e">
        <f aca="false">IF(OR(F484="",G484=""),"",F484^2)</f>
        <v>#VALUE!</v>
      </c>
      <c r="J484" s="224" t="e">
        <f aca="false">IF(OR(F484="",G484=""),"",G484^2)</f>
        <v>#VALUE!</v>
      </c>
      <c r="L484" s="41"/>
      <c r="M484" s="41"/>
      <c r="N484" s="41"/>
      <c r="O484" s="41"/>
      <c r="P484" s="41"/>
      <c r="Q484" s="41"/>
    </row>
    <row collapsed="false" customFormat="false" customHeight="true" hidden="false" ht="11.4" outlineLevel="0" r="485">
      <c r="B485" s="42"/>
      <c r="C485" s="43"/>
      <c r="D485" s="169" t="e">
        <f aca="false">IF(OR(D405="",E405=""),"",D405)</f>
        <v>#VALUE!</v>
      </c>
      <c r="E485" s="169" t="e">
        <f aca="false">IF(OR(E405="",D405=""),"",E405)</f>
        <v>#VALUE!</v>
      </c>
      <c r="F485" s="223" t="e">
        <f aca="false">IF(OR(D485="",E485=""),"",RANK(D485,xi,1)+(COUNTIF(xi,D485)-1)/2)</f>
        <v>#VALUE!</v>
      </c>
      <c r="G485" s="225" t="e">
        <f aca="false">IF(OR(E485="",F485=""),"",RANK(E485,yi,1)+(COUNTIF(yi,E485)-1)/2)</f>
        <v>#VALUE!</v>
      </c>
      <c r="H485" s="224" t="e">
        <f aca="false">IF(OR(F485="",G485=""),"",F485*G485)</f>
        <v>#VALUE!</v>
      </c>
      <c r="I485" s="224" t="e">
        <f aca="false">IF(OR(F485="",G485=""),"",F485^2)</f>
        <v>#VALUE!</v>
      </c>
      <c r="J485" s="224" t="e">
        <f aca="false">IF(OR(F485="",G485=""),"",G485^2)</f>
        <v>#VALUE!</v>
      </c>
      <c r="L485" s="41"/>
      <c r="M485" s="41"/>
      <c r="N485" s="41"/>
      <c r="O485" s="41"/>
      <c r="P485" s="41"/>
      <c r="Q485" s="41"/>
    </row>
    <row collapsed="false" customFormat="false" customHeight="true" hidden="false" ht="11.4" outlineLevel="0" r="486">
      <c r="B486" s="42"/>
      <c r="C486" s="43"/>
      <c r="D486" s="169" t="e">
        <f aca="false">IF(OR(D406="",E406=""),"",D406)</f>
        <v>#VALUE!</v>
      </c>
      <c r="E486" s="169" t="e">
        <f aca="false">IF(OR(E406="",D406=""),"",E406)</f>
        <v>#VALUE!</v>
      </c>
      <c r="F486" s="223" t="e">
        <f aca="false">IF(OR(D486="",E486=""),"",RANK(D486,xi,1)+(COUNTIF(xi,D486)-1)/2)</f>
        <v>#VALUE!</v>
      </c>
      <c r="G486" s="225" t="e">
        <f aca="false">IF(OR(E486="",F486=""),"",RANK(E486,yi,1)+(COUNTIF(yi,E486)-1)/2)</f>
        <v>#VALUE!</v>
      </c>
      <c r="H486" s="224" t="e">
        <f aca="false">IF(OR(F486="",G486=""),"",F486*G486)</f>
        <v>#VALUE!</v>
      </c>
      <c r="I486" s="224" t="e">
        <f aca="false">IF(OR(F486="",G486=""),"",F486^2)</f>
        <v>#VALUE!</v>
      </c>
      <c r="J486" s="224" t="e">
        <f aca="false">IF(OR(F486="",G486=""),"",G486^2)</f>
        <v>#VALUE!</v>
      </c>
      <c r="L486" s="41"/>
      <c r="M486" s="208"/>
      <c r="N486" s="41"/>
      <c r="O486" s="41"/>
      <c r="P486" s="41"/>
      <c r="Q486" s="41"/>
    </row>
    <row collapsed="false" customFormat="false" customHeight="true" hidden="false" ht="11.4" outlineLevel="0" r="487">
      <c r="B487" s="42"/>
      <c r="C487" s="43"/>
      <c r="D487" s="169" t="e">
        <f aca="false">IF(OR(D407="",E407=""),"",D407)</f>
        <v>#VALUE!</v>
      </c>
      <c r="E487" s="169" t="e">
        <f aca="false">IF(OR(E407="",D407=""),"",E407)</f>
        <v>#VALUE!</v>
      </c>
      <c r="F487" s="223" t="e">
        <f aca="false">IF(OR(D487="",E487=""),"",RANK(D487,xi,1)+(COUNTIF(xi,D487)-1)/2)</f>
        <v>#VALUE!</v>
      </c>
      <c r="G487" s="225" t="e">
        <f aca="false">IF(OR(E487="",F487=""),"",RANK(E487,yi,1)+(COUNTIF(yi,E487)-1)/2)</f>
        <v>#VALUE!</v>
      </c>
      <c r="H487" s="224" t="e">
        <f aca="false">IF(OR(F487="",G487=""),"",F487*G487)</f>
        <v>#VALUE!</v>
      </c>
      <c r="I487" s="224" t="e">
        <f aca="false">IF(OR(F487="",G487=""),"",F487^2)</f>
        <v>#VALUE!</v>
      </c>
      <c r="J487" s="224" t="e">
        <f aca="false">IF(OR(F487="",G487=""),"",G487^2)</f>
        <v>#VALUE!</v>
      </c>
      <c r="L487" s="41"/>
      <c r="M487" s="61"/>
      <c r="N487" s="41"/>
      <c r="O487" s="41"/>
      <c r="P487" s="41"/>
      <c r="Q487" s="41"/>
    </row>
    <row collapsed="false" customFormat="false" customHeight="true" hidden="false" ht="11.4" outlineLevel="0" r="488">
      <c r="B488" s="42"/>
      <c r="C488" s="42"/>
      <c r="D488" s="169" t="e">
        <f aca="false">IF(OR(D408="",E408=""),"",D408)</f>
        <v>#VALUE!</v>
      </c>
      <c r="E488" s="169" t="e">
        <f aca="false">IF(OR(E408="",D408=""),"",E408)</f>
        <v>#VALUE!</v>
      </c>
      <c r="F488" s="223" t="e">
        <f aca="false">IF(OR(D488="",E488=""),"",RANK(D488,xi,1)+(COUNTIF(xi,D488)-1)/2)</f>
        <v>#VALUE!</v>
      </c>
      <c r="G488" s="225" t="e">
        <f aca="false">IF(OR(E488="",F488=""),"",RANK(E488,yi,1)+(COUNTIF(yi,E488)-1)/2)</f>
        <v>#VALUE!</v>
      </c>
      <c r="H488" s="224" t="e">
        <f aca="false">IF(OR(F488="",G488=""),"",F488*G488)</f>
        <v>#VALUE!</v>
      </c>
      <c r="I488" s="224" t="e">
        <f aca="false">IF(OR(F488="",G488=""),"",F488^2)</f>
        <v>#VALUE!</v>
      </c>
      <c r="J488" s="224" t="e">
        <f aca="false">IF(OR(F488="",G488=""),"",G488^2)</f>
        <v>#VALUE!</v>
      </c>
      <c r="L488" s="41"/>
      <c r="M488" s="61"/>
      <c r="N488" s="41"/>
      <c r="O488" s="41"/>
      <c r="P488" s="41"/>
      <c r="Q488" s="41"/>
    </row>
    <row collapsed="false" customFormat="false" customHeight="true" hidden="false" ht="11.4" outlineLevel="0" r="489">
      <c r="B489" s="42"/>
      <c r="C489" s="43"/>
      <c r="D489" s="169" t="e">
        <f aca="false">IF(OR(D409="",E409=""),"",D409)</f>
        <v>#VALUE!</v>
      </c>
      <c r="E489" s="169" t="e">
        <f aca="false">IF(OR(E409="",D409=""),"",E409)</f>
        <v>#VALUE!</v>
      </c>
      <c r="F489" s="223" t="e">
        <f aca="false">IF(OR(D489="",E489=""),"",RANK(D489,xi,1)+(COUNTIF(xi,D489)-1)/2)</f>
        <v>#VALUE!</v>
      </c>
      <c r="G489" s="225" t="e">
        <f aca="false">IF(OR(E489="",F489=""),"",RANK(E489,yi,1)+(COUNTIF(yi,E489)-1)/2)</f>
        <v>#VALUE!</v>
      </c>
      <c r="H489" s="224" t="e">
        <f aca="false">IF(OR(F489="",G489=""),"",F489*G489)</f>
        <v>#VALUE!</v>
      </c>
      <c r="I489" s="224" t="e">
        <f aca="false">IF(OR(F489="",G489=""),"",F489^2)</f>
        <v>#VALUE!</v>
      </c>
      <c r="J489" s="224" t="e">
        <f aca="false">IF(OR(F489="",G489=""),"",G489^2)</f>
        <v>#VALUE!</v>
      </c>
      <c r="L489" s="41"/>
      <c r="M489" s="61"/>
      <c r="N489" s="41"/>
      <c r="O489" s="41"/>
      <c r="P489" s="41"/>
      <c r="Q489" s="41"/>
    </row>
    <row collapsed="false" customFormat="false" customHeight="true" hidden="false" ht="11.4" outlineLevel="0" r="490">
      <c r="B490" s="7"/>
      <c r="C490" s="7"/>
      <c r="D490" s="169" t="n">
        <f aca="false">IF(OR(D410="",E410=""),"",D410)</f>
        <v>0</v>
      </c>
      <c r="E490" s="169" t="n">
        <f aca="false">IF(OR(E410="",D410=""),"",E410)</f>
        <v>0</v>
      </c>
      <c r="F490" s="223" t="n">
        <f aca="false">IF(OR(D490="",E490=""),"",RANK(D490,xi,1)+(COUNTIF(xi,D490)-1)/2)</f>
        <v>0</v>
      </c>
      <c r="G490" s="225" t="n">
        <f aca="false">IF(OR(E490="",F490=""),"",RANK(E490,yi,1)+(COUNTIF(yi,E490)-1)/2)</f>
        <v>0</v>
      </c>
      <c r="H490" s="224" t="n">
        <f aca="false">IF(OR(F490="",G490=""),"",F490*G490)</f>
        <v>0</v>
      </c>
      <c r="I490" s="224" t="str">
        <f aca="false">IF(OR(F490="",G490=""),"",F490^2)</f>
        <v/>
      </c>
      <c r="J490" s="224" t="str">
        <f aca="false">IF(OR(F490="",G490=""),"",G490^2)</f>
        <v/>
      </c>
      <c r="L490" s="41"/>
      <c r="M490" s="61"/>
      <c r="N490" s="41"/>
      <c r="O490" s="41"/>
      <c r="P490" s="41"/>
      <c r="Q490" s="41"/>
    </row>
    <row collapsed="false" customFormat="false" customHeight="true" hidden="false" ht="11.4" outlineLevel="0" r="491">
      <c r="B491" s="42"/>
      <c r="C491" s="43"/>
      <c r="D491" s="169" t="e">
        <f aca="false">IF(OR(D411="",E411=""),"",D411)</f>
        <v>#VALUE!</v>
      </c>
      <c r="E491" s="169" t="e">
        <f aca="false">IF(OR(E411="",D411=""),"",E411)</f>
        <v>#VALUE!</v>
      </c>
      <c r="F491" s="223" t="e">
        <f aca="false">IF(OR(D491="",E491=""),"",RANK(D491,xi,1)+(COUNTIF(xi,D491)-1)/2)</f>
        <v>#VALUE!</v>
      </c>
      <c r="G491" s="225" t="e">
        <f aca="false">IF(OR(E491="",F491=""),"",RANK(E491,yi,1)+(COUNTIF(yi,E491)-1)/2)</f>
        <v>#VALUE!</v>
      </c>
      <c r="H491" s="224" t="e">
        <f aca="false">IF(OR(F491="",G491=""),"",F491*G491)</f>
        <v>#VALUE!</v>
      </c>
      <c r="I491" s="224" t="e">
        <f aca="false">IF(OR(F491="",G491=""),"",F491^2)</f>
        <v>#VALUE!</v>
      </c>
      <c r="J491" s="224" t="e">
        <f aca="false">IF(OR(F491="",G491=""),"",G491^2)</f>
        <v>#VALUE!</v>
      </c>
      <c r="L491" s="41"/>
      <c r="M491" s="61"/>
      <c r="N491" s="41"/>
      <c r="O491" s="41"/>
      <c r="P491" s="41"/>
      <c r="Q491" s="41"/>
    </row>
    <row collapsed="false" customFormat="false" customHeight="true" hidden="false" ht="11.4" outlineLevel="0" r="492">
      <c r="B492" s="42"/>
      <c r="C492" s="43"/>
      <c r="D492" s="169" t="e">
        <f aca="false">IF(OR(D412="",E412=""),"",D412)</f>
        <v>#VALUE!</v>
      </c>
      <c r="E492" s="169" t="e">
        <f aca="false">IF(OR(E412="",D412=""),"",E412)</f>
        <v>#VALUE!</v>
      </c>
      <c r="F492" s="223" t="e">
        <f aca="false">IF(OR(D492="",E492=""),"",RANK(D492,xi,1)+(COUNTIF(xi,D492)-1)/2)</f>
        <v>#VALUE!</v>
      </c>
      <c r="G492" s="225" t="e">
        <f aca="false">IF(OR(E492="",F492=""),"",RANK(E492,yi,1)+(COUNTIF(yi,E492)-1)/2)</f>
        <v>#VALUE!</v>
      </c>
      <c r="H492" s="224" t="e">
        <f aca="false">IF(OR(F492="",G492=""),"",F492*G492)</f>
        <v>#VALUE!</v>
      </c>
      <c r="I492" s="224" t="e">
        <f aca="false">IF(OR(F492="",G492=""),"",F492^2)</f>
        <v>#VALUE!</v>
      </c>
      <c r="J492" s="224" t="e">
        <f aca="false">IF(OR(F492="",G492=""),"",G492^2)</f>
        <v>#VALUE!</v>
      </c>
      <c r="L492" s="41"/>
      <c r="M492" s="41"/>
      <c r="N492" s="41"/>
      <c r="O492" s="41"/>
      <c r="P492" s="41"/>
      <c r="Q492" s="41"/>
    </row>
    <row collapsed="false" customFormat="false" customHeight="true" hidden="false" ht="11.4" outlineLevel="0" r="493">
      <c r="B493" s="42"/>
      <c r="C493" s="43"/>
      <c r="D493" s="169" t="e">
        <f aca="false">IF(OR(D413="",E413=""),"",D413)</f>
        <v>#VALUE!</v>
      </c>
      <c r="E493" s="169" t="e">
        <f aca="false">IF(OR(E413="",D413=""),"",E413)</f>
        <v>#VALUE!</v>
      </c>
      <c r="F493" s="223" t="e">
        <f aca="false">IF(OR(D493="",E493=""),"",RANK(D493,xi,1)+(COUNTIF(xi,D493)-1)/2)</f>
        <v>#VALUE!</v>
      </c>
      <c r="G493" s="225" t="e">
        <f aca="false">IF(OR(E493="",F493=""),"",RANK(E493,yi,1)+(COUNTIF(yi,E493)-1)/2)</f>
        <v>#VALUE!</v>
      </c>
      <c r="H493" s="224" t="e">
        <f aca="false">IF(OR(F493="",G493=""),"",F493*G493)</f>
        <v>#VALUE!</v>
      </c>
      <c r="I493" s="224" t="e">
        <f aca="false">IF(OR(F493="",G493=""),"",F493^2)</f>
        <v>#VALUE!</v>
      </c>
      <c r="J493" s="224" t="e">
        <f aca="false">IF(OR(F493="",G493=""),"",G493^2)</f>
        <v>#VALUE!</v>
      </c>
      <c r="L493" s="41"/>
      <c r="M493" s="41"/>
      <c r="N493" s="41"/>
      <c r="O493" s="41"/>
      <c r="P493" s="41"/>
      <c r="Q493" s="41"/>
    </row>
    <row collapsed="false" customFormat="false" customHeight="true" hidden="false" ht="11.4" outlineLevel="0" r="494">
      <c r="B494" s="42"/>
      <c r="C494" s="43"/>
      <c r="D494" s="169" t="e">
        <f aca="false">IF(OR(D414="",E414=""),"",D414)</f>
        <v>#VALUE!</v>
      </c>
      <c r="E494" s="169" t="e">
        <f aca="false">IF(OR(E414="",D414=""),"",E414)</f>
        <v>#VALUE!</v>
      </c>
      <c r="F494" s="223" t="e">
        <f aca="false">IF(OR(D494="",E494=""),"",RANK(D494,xi,1)+(COUNTIF(xi,D494)-1)/2)</f>
        <v>#VALUE!</v>
      </c>
      <c r="G494" s="225" t="e">
        <f aca="false">IF(OR(E494="",F494=""),"",RANK(E494,yi,1)+(COUNTIF(yi,E494)-1)/2)</f>
        <v>#VALUE!</v>
      </c>
      <c r="H494" s="224" t="e">
        <f aca="false">IF(OR(F494="",G494=""),"",F494*G494)</f>
        <v>#VALUE!</v>
      </c>
      <c r="I494" s="224" t="e">
        <f aca="false">IF(OR(F494="",G494=""),"",F494^2)</f>
        <v>#VALUE!</v>
      </c>
      <c r="J494" s="224" t="e">
        <f aca="false">IF(OR(F494="",G494=""),"",G494^2)</f>
        <v>#VALUE!</v>
      </c>
      <c r="L494" s="41"/>
      <c r="M494" s="41"/>
      <c r="N494" s="41"/>
      <c r="O494" s="41"/>
      <c r="P494" s="41"/>
      <c r="Q494" s="41"/>
    </row>
    <row collapsed="false" customFormat="false" customHeight="true" hidden="false" ht="11.4" outlineLevel="0" r="495">
      <c r="B495" s="42"/>
      <c r="C495" s="7"/>
      <c r="D495" s="169" t="e">
        <f aca="false">IF(OR(D415="",E415=""),"",D415)</f>
        <v>#VALUE!</v>
      </c>
      <c r="E495" s="169" t="e">
        <f aca="false">IF(OR(E415="",D415=""),"",E415)</f>
        <v>#VALUE!</v>
      </c>
      <c r="F495" s="223" t="e">
        <f aca="false">IF(OR(D495="",E495=""),"",RANK(D495,xi,1)+(COUNTIF(xi,D495)-1)/2)</f>
        <v>#VALUE!</v>
      </c>
      <c r="G495" s="225" t="e">
        <f aca="false">IF(OR(E495="",F495=""),"",RANK(E495,yi,1)+(COUNTIF(yi,E495)-1)/2)</f>
        <v>#VALUE!</v>
      </c>
      <c r="H495" s="224" t="e">
        <f aca="false">IF(OR(F495="",G495=""),"",F495*G495)</f>
        <v>#VALUE!</v>
      </c>
      <c r="I495" s="224" t="e">
        <f aca="false">IF(OR(F495="",G495=""),"",F495^2)</f>
        <v>#VALUE!</v>
      </c>
      <c r="J495" s="224" t="e">
        <f aca="false">IF(OR(F495="",G495=""),"",G495^2)</f>
        <v>#VALUE!</v>
      </c>
      <c r="L495" s="41"/>
      <c r="M495" s="41"/>
      <c r="N495" s="41"/>
      <c r="O495" s="41"/>
      <c r="P495" s="41"/>
      <c r="Q495" s="41"/>
    </row>
    <row collapsed="false" customFormat="false" customHeight="true" hidden="false" ht="11.4" outlineLevel="0" r="496">
      <c r="B496" s="42"/>
      <c r="C496" s="43"/>
      <c r="D496" s="169" t="e">
        <f aca="false">IF(OR(D416="",E416=""),"",D416)</f>
        <v>#VALUE!</v>
      </c>
      <c r="E496" s="169" t="e">
        <f aca="false">IF(OR(E416="",D416=""),"",E416)</f>
        <v>#VALUE!</v>
      </c>
      <c r="F496" s="223" t="e">
        <f aca="false">IF(OR(D496="",E496=""),"",RANK(D496,xi,1)+(COUNTIF(xi,D496)-1)/2)</f>
        <v>#VALUE!</v>
      </c>
      <c r="G496" s="225" t="e">
        <f aca="false">IF(OR(E496="",F496=""),"",RANK(E496,yi,1)+(COUNTIF(yi,E496)-1)/2)</f>
        <v>#VALUE!</v>
      </c>
      <c r="H496" s="224" t="e">
        <f aca="false">IF(OR(F496="",G496=""),"",F496*G496)</f>
        <v>#VALUE!</v>
      </c>
      <c r="I496" s="224" t="e">
        <f aca="false">IF(OR(F496="",G496=""),"",F496^2)</f>
        <v>#VALUE!</v>
      </c>
      <c r="J496" s="224" t="e">
        <f aca="false">IF(OR(F496="",G496=""),"",G496^2)</f>
        <v>#VALUE!</v>
      </c>
      <c r="L496" s="41"/>
      <c r="M496" s="41"/>
      <c r="N496" s="41"/>
      <c r="O496" s="41"/>
      <c r="P496" s="41"/>
      <c r="Q496" s="41"/>
    </row>
    <row collapsed="false" customFormat="false" customHeight="true" hidden="false" ht="11.4" outlineLevel="0" r="497">
      <c r="B497" s="42"/>
      <c r="C497" s="43"/>
      <c r="D497" s="169" t="e">
        <f aca="false">IF(OR(D417="",E417=""),"",D417)</f>
        <v>#VALUE!</v>
      </c>
      <c r="E497" s="169" t="e">
        <f aca="false">IF(OR(E417="",D417=""),"",E417)</f>
        <v>#VALUE!</v>
      </c>
      <c r="F497" s="223" t="e">
        <f aca="false">IF(OR(D497="",E497=""),"",RANK(D497,xi,1)+(COUNTIF(xi,D497)-1)/2)</f>
        <v>#VALUE!</v>
      </c>
      <c r="G497" s="225" t="e">
        <f aca="false">IF(OR(E497="",F497=""),"",RANK(E497,yi,1)+(COUNTIF(yi,E497)-1)/2)</f>
        <v>#VALUE!</v>
      </c>
      <c r="H497" s="224" t="e">
        <f aca="false">IF(OR(F497="",G497=""),"",F497*G497)</f>
        <v>#VALUE!</v>
      </c>
      <c r="I497" s="224" t="e">
        <f aca="false">IF(OR(F497="",G497=""),"",F497^2)</f>
        <v>#VALUE!</v>
      </c>
      <c r="J497" s="224" t="e">
        <f aca="false">IF(OR(F497="",G497=""),"",G497^2)</f>
        <v>#VALUE!</v>
      </c>
      <c r="L497" s="41"/>
      <c r="M497" s="41"/>
      <c r="N497" s="41"/>
      <c r="O497" s="41"/>
      <c r="P497" s="41"/>
      <c r="Q497" s="41"/>
    </row>
    <row collapsed="false" customFormat="false" customHeight="true" hidden="false" ht="11.4" outlineLevel="0" r="498">
      <c r="B498" s="42"/>
      <c r="C498" s="7"/>
      <c r="D498" s="169" t="e">
        <f aca="false">IF(OR(D418="",E418=""),"",D418)</f>
        <v>#VALUE!</v>
      </c>
      <c r="E498" s="169" t="e">
        <f aca="false">IF(OR(E418="",D418=""),"",E418)</f>
        <v>#VALUE!</v>
      </c>
      <c r="F498" s="223" t="e">
        <f aca="false">IF(OR(D498="",E498=""),"",RANK(D498,xi,1)+(COUNTIF(xi,D498)-1)/2)</f>
        <v>#VALUE!</v>
      </c>
      <c r="G498" s="225" t="e">
        <f aca="false">IF(OR(E498="",F498=""),"",RANK(E498,yi,1)+(COUNTIF(yi,E498)-1)/2)</f>
        <v>#VALUE!</v>
      </c>
      <c r="H498" s="224" t="e">
        <f aca="false">IF(OR(F498="",G498=""),"",F498*G498)</f>
        <v>#VALUE!</v>
      </c>
      <c r="I498" s="224" t="e">
        <f aca="false">IF(OR(F498="",G498=""),"",F498^2)</f>
        <v>#VALUE!</v>
      </c>
      <c r="J498" s="224" t="e">
        <f aca="false">IF(OR(F498="",G498=""),"",G498^2)</f>
        <v>#VALUE!</v>
      </c>
      <c r="L498" s="41"/>
      <c r="M498" s="41"/>
      <c r="N498" s="41"/>
      <c r="O498" s="41"/>
      <c r="P498" s="41"/>
      <c r="Q498" s="41"/>
    </row>
    <row collapsed="false" customFormat="false" customHeight="true" hidden="false" ht="11.4" outlineLevel="0" r="499">
      <c r="B499" s="42"/>
      <c r="C499" s="43"/>
      <c r="D499" s="169" t="e">
        <f aca="false">IF(OR(D419="",E419=""),"",D419)</f>
        <v>#VALUE!</v>
      </c>
      <c r="E499" s="169" t="e">
        <f aca="false">IF(OR(E419="",D419=""),"",E419)</f>
        <v>#VALUE!</v>
      </c>
      <c r="F499" s="223" t="e">
        <f aca="false">IF(OR(D499="",E499=""),"",RANK(D499,xi,1)+(COUNTIF(xi,D499)-1)/2)</f>
        <v>#VALUE!</v>
      </c>
      <c r="G499" s="225" t="e">
        <f aca="false">IF(OR(E499="",F499=""),"",RANK(E499,yi,1)+(COUNTIF(yi,E499)-1)/2)</f>
        <v>#VALUE!</v>
      </c>
      <c r="H499" s="224" t="e">
        <f aca="false">IF(OR(F499="",G499=""),"",F499*G499)</f>
        <v>#VALUE!</v>
      </c>
      <c r="I499" s="224" t="e">
        <f aca="false">IF(OR(F499="",G499=""),"",F499^2)</f>
        <v>#VALUE!</v>
      </c>
      <c r="J499" s="224" t="e">
        <f aca="false">IF(OR(F499="",G499=""),"",G499^2)</f>
        <v>#VALUE!</v>
      </c>
      <c r="L499" s="41"/>
      <c r="M499" s="41"/>
      <c r="N499" s="41"/>
      <c r="O499" s="41"/>
      <c r="P499" s="41"/>
      <c r="Q499" s="41"/>
    </row>
    <row collapsed="false" customFormat="false" customHeight="true" hidden="false" ht="11.4" outlineLevel="0" r="500">
      <c r="B500" s="42"/>
      <c r="C500" s="43"/>
      <c r="D500" s="169" t="e">
        <f aca="false">IF(OR(D420="",E420=""),"",D420)</f>
        <v>#VALUE!</v>
      </c>
      <c r="E500" s="169" t="e">
        <f aca="false">IF(OR(E420="",D420=""),"",E420)</f>
        <v>#VALUE!</v>
      </c>
      <c r="F500" s="223" t="e">
        <f aca="false">IF(OR(D500="",E500=""),"",RANK(D500,xi,1)+(COUNTIF(xi,D500)-1)/2)</f>
        <v>#VALUE!</v>
      </c>
      <c r="G500" s="225" t="e">
        <f aca="false">IF(OR(E500="",F500=""),"",RANK(E500,yi,1)+(COUNTIF(yi,E500)-1)/2)</f>
        <v>#VALUE!</v>
      </c>
      <c r="H500" s="224" t="e">
        <f aca="false">IF(OR(F500="",G500=""),"",F500*G500)</f>
        <v>#VALUE!</v>
      </c>
      <c r="I500" s="224" t="e">
        <f aca="false">IF(OR(F500="",G500=""),"",F500^2)</f>
        <v>#VALUE!</v>
      </c>
      <c r="J500" s="224" t="e">
        <f aca="false">IF(OR(F500="",G500=""),"",G500^2)</f>
        <v>#VALUE!</v>
      </c>
      <c r="L500" s="41"/>
      <c r="M500" s="41"/>
      <c r="N500" s="41"/>
      <c r="O500" s="41"/>
      <c r="P500" s="41"/>
      <c r="Q500" s="41"/>
    </row>
    <row collapsed="false" customFormat="false" customHeight="true" hidden="false" ht="11.4" outlineLevel="0" r="501">
      <c r="B501" s="42"/>
      <c r="C501" s="7"/>
      <c r="D501" s="169" t="e">
        <f aca="false">IF(OR(D421="",E421=""),"",D421)</f>
        <v>#VALUE!</v>
      </c>
      <c r="E501" s="169" t="e">
        <f aca="false">IF(OR(E421="",D421=""),"",E421)</f>
        <v>#VALUE!</v>
      </c>
      <c r="F501" s="223" t="e">
        <f aca="false">IF(OR(D501="",E501=""),"",RANK(D501,xi,1)+(COUNTIF(xi,D501)-1)/2)</f>
        <v>#VALUE!</v>
      </c>
      <c r="G501" s="225" t="e">
        <f aca="false">IF(OR(E501="",F501=""),"",RANK(E501,yi,1)+(COUNTIF(yi,E501)-1)/2)</f>
        <v>#VALUE!</v>
      </c>
      <c r="H501" s="224" t="e">
        <f aca="false">IF(OR(F501="",G501=""),"",F501*G501)</f>
        <v>#VALUE!</v>
      </c>
      <c r="I501" s="224" t="e">
        <f aca="false">IF(OR(F501="",G501=""),"",F501^2)</f>
        <v>#VALUE!</v>
      </c>
      <c r="J501" s="224" t="e">
        <f aca="false">IF(OR(F501="",G501=""),"",G501^2)</f>
        <v>#VALUE!</v>
      </c>
      <c r="L501" s="41"/>
      <c r="M501" s="41"/>
      <c r="N501" s="41"/>
      <c r="O501" s="41"/>
      <c r="P501" s="41"/>
      <c r="Q501" s="41"/>
    </row>
    <row collapsed="false" customFormat="false" customHeight="true" hidden="false" ht="11.4" outlineLevel="0" r="502">
      <c r="B502" s="42"/>
      <c r="C502" s="42"/>
      <c r="D502" s="169" t="e">
        <f aca="false">IF(OR(D422="",E422=""),"",D422)</f>
        <v>#VALUE!</v>
      </c>
      <c r="E502" s="169" t="e">
        <f aca="false">IF(OR(E422="",D422=""),"",E422)</f>
        <v>#VALUE!</v>
      </c>
      <c r="F502" s="223" t="e">
        <f aca="false">IF(OR(D502="",E502=""),"",RANK(D502,xi,1)+(COUNTIF(xi,D502)-1)/2)</f>
        <v>#VALUE!</v>
      </c>
      <c r="G502" s="225" t="e">
        <f aca="false">IF(OR(E502="",F502=""),"",RANK(E502,yi,1)+(COUNTIF(yi,E502)-1)/2)</f>
        <v>#VALUE!</v>
      </c>
      <c r="H502" s="224" t="e">
        <f aca="false">IF(OR(F502="",G502=""),"",F502*G502)</f>
        <v>#VALUE!</v>
      </c>
      <c r="I502" s="224" t="e">
        <f aca="false">IF(OR(F502="",G502=""),"",F502^2)</f>
        <v>#VALUE!</v>
      </c>
      <c r="J502" s="224" t="e">
        <f aca="false">IF(OR(F502="",G502=""),"",G502^2)</f>
        <v>#VALUE!</v>
      </c>
      <c r="L502" s="41"/>
      <c r="M502" s="41"/>
      <c r="N502" s="41"/>
      <c r="O502" s="41"/>
      <c r="P502" s="41"/>
      <c r="Q502" s="41"/>
    </row>
    <row collapsed="false" customFormat="false" customHeight="true" hidden="false" ht="11.4" outlineLevel="0" r="503">
      <c r="B503" s="42"/>
      <c r="C503" s="43"/>
      <c r="D503" s="169" t="e">
        <f aca="false">IF(OR(D423="",E423=""),"",D423)</f>
        <v>#VALUE!</v>
      </c>
      <c r="E503" s="169" t="e">
        <f aca="false">IF(OR(E423="",D423=""),"",E423)</f>
        <v>#VALUE!</v>
      </c>
      <c r="F503" s="223" t="e">
        <f aca="false">IF(OR(D503="",E503=""),"",RANK(D503,xi,1)+(COUNTIF(xi,D503)-1)/2)</f>
        <v>#VALUE!</v>
      </c>
      <c r="G503" s="225" t="e">
        <f aca="false">IF(OR(E503="",F503=""),"",RANK(E503,yi,1)+(COUNTIF(yi,E503)-1)/2)</f>
        <v>#VALUE!</v>
      </c>
      <c r="H503" s="224" t="e">
        <f aca="false">IF(OR(F503="",G503=""),"",F503*G503)</f>
        <v>#VALUE!</v>
      </c>
      <c r="I503" s="224" t="e">
        <f aca="false">IF(OR(F503="",G503=""),"",F503^2)</f>
        <v>#VALUE!</v>
      </c>
      <c r="J503" s="224" t="e">
        <f aca="false">IF(OR(F503="",G503=""),"",G503^2)</f>
        <v>#VALUE!</v>
      </c>
      <c r="L503" s="41"/>
      <c r="M503" s="41"/>
      <c r="N503" s="41"/>
      <c r="O503" s="41"/>
      <c r="P503" s="41"/>
      <c r="Q503" s="41"/>
    </row>
    <row collapsed="false" customFormat="false" customHeight="true" hidden="false" ht="11.4" outlineLevel="0" r="504">
      <c r="B504" s="42"/>
      <c r="C504" s="43"/>
      <c r="D504" s="169" t="e">
        <f aca="false">IF(OR(D424="",E424=""),"",D424)</f>
        <v>#VALUE!</v>
      </c>
      <c r="E504" s="169" t="e">
        <f aca="false">IF(OR(E424="",D424=""),"",E424)</f>
        <v>#VALUE!</v>
      </c>
      <c r="F504" s="223" t="e">
        <f aca="false">IF(OR(D504="",E504=""),"",RANK(D504,xi,1)+(COUNTIF(xi,D504)-1)/2)</f>
        <v>#VALUE!</v>
      </c>
      <c r="G504" s="225" t="e">
        <f aca="false">IF(OR(E504="",F504=""),"",RANK(E504,yi,1)+(COUNTIF(yi,E504)-1)/2)</f>
        <v>#VALUE!</v>
      </c>
      <c r="H504" s="224" t="e">
        <f aca="false">IF(OR(F504="",G504=""),"",F504*G504)</f>
        <v>#VALUE!</v>
      </c>
      <c r="I504" s="224" t="e">
        <f aca="false">IF(OR(F504="",G504=""),"",F504^2)</f>
        <v>#VALUE!</v>
      </c>
      <c r="J504" s="224" t="e">
        <f aca="false">IF(OR(F504="",G504=""),"",G504^2)</f>
        <v>#VALUE!</v>
      </c>
      <c r="L504" s="41"/>
      <c r="M504" s="41"/>
      <c r="N504" s="41"/>
      <c r="O504" s="41"/>
      <c r="P504" s="41"/>
      <c r="Q504" s="41"/>
    </row>
    <row collapsed="false" customFormat="false" customHeight="true" hidden="false" ht="11.4" outlineLevel="0" r="505">
      <c r="B505" s="42"/>
      <c r="C505" s="43"/>
      <c r="D505" s="169" t="e">
        <f aca="false">IF(OR(D425="",E425=""),"",D425)</f>
        <v>#VALUE!</v>
      </c>
      <c r="E505" s="169" t="e">
        <f aca="false">IF(OR(E425="",D425=""),"",E425)</f>
        <v>#VALUE!</v>
      </c>
      <c r="F505" s="223" t="e">
        <f aca="false">IF(OR(D505="",E505=""),"",RANK(D505,xi,1)+(COUNTIF(xi,D505)-1)/2)</f>
        <v>#VALUE!</v>
      </c>
      <c r="G505" s="225" t="e">
        <f aca="false">IF(OR(E505="",F505=""),"",RANK(E505,yi,1)+(COUNTIF(yi,E505)-1)/2)</f>
        <v>#VALUE!</v>
      </c>
      <c r="H505" s="224" t="e">
        <f aca="false">IF(OR(F505="",G505=""),"",F505*G505)</f>
        <v>#VALUE!</v>
      </c>
      <c r="I505" s="224" t="e">
        <f aca="false">IF(OR(F505="",G505=""),"",F505^2)</f>
        <v>#VALUE!</v>
      </c>
      <c r="J505" s="224" t="e">
        <f aca="false">IF(OR(F505="",G505=""),"",G505^2)</f>
        <v>#VALUE!</v>
      </c>
      <c r="L505" s="41"/>
      <c r="M505" s="41"/>
      <c r="N505" s="41"/>
      <c r="O505" s="41"/>
      <c r="P505" s="41"/>
      <c r="Q505" s="41"/>
    </row>
    <row collapsed="false" customFormat="false" customHeight="true" hidden="false" ht="11.4" outlineLevel="0" r="506">
      <c r="B506" s="42"/>
      <c r="C506" s="43"/>
      <c r="D506" s="169" t="e">
        <f aca="false">IF(OR(D426="",E426=""),"",D426)</f>
        <v>#VALUE!</v>
      </c>
      <c r="E506" s="169" t="e">
        <f aca="false">IF(OR(E426="",D426=""),"",E426)</f>
        <v>#VALUE!</v>
      </c>
      <c r="F506" s="223" t="e">
        <f aca="false">IF(OR(D506="",E506=""),"",RANK(D506,xi,1)+(COUNTIF(xi,D506)-1)/2)</f>
        <v>#VALUE!</v>
      </c>
      <c r="G506" s="225" t="e">
        <f aca="false">IF(OR(E506="",F506=""),"",RANK(E506,yi,1)+(COUNTIF(yi,E506)-1)/2)</f>
        <v>#VALUE!</v>
      </c>
      <c r="H506" s="224" t="e">
        <f aca="false">IF(OR(F506="",G506=""),"",F506*G506)</f>
        <v>#VALUE!</v>
      </c>
      <c r="I506" s="224" t="e">
        <f aca="false">IF(OR(F506="",G506=""),"",F506^2)</f>
        <v>#VALUE!</v>
      </c>
      <c r="J506" s="224" t="e">
        <f aca="false">IF(OR(F506="",G506=""),"",G506^2)</f>
        <v>#VALUE!</v>
      </c>
      <c r="L506" s="41"/>
      <c r="M506" s="41"/>
      <c r="N506" s="41"/>
      <c r="O506" s="41"/>
      <c r="P506" s="41"/>
      <c r="Q506" s="41"/>
    </row>
    <row collapsed="false" customFormat="false" customHeight="true" hidden="false" ht="11.4" outlineLevel="0" r="507">
      <c r="B507" s="42"/>
      <c r="C507" s="7"/>
      <c r="D507" s="169" t="e">
        <f aca="false">IF(OR(D427="",E427=""),"",D427)</f>
        <v>#VALUE!</v>
      </c>
      <c r="E507" s="169" t="e">
        <f aca="false">IF(OR(E427="",D427=""),"",E427)</f>
        <v>#VALUE!</v>
      </c>
      <c r="F507" s="223" t="e">
        <f aca="false">IF(OR(D507="",E507=""),"",RANK(D507,xi,1)+(COUNTIF(xi,D507)-1)/2)</f>
        <v>#VALUE!</v>
      </c>
      <c r="G507" s="225" t="e">
        <f aca="false">IF(OR(E507="",F507=""),"",RANK(E507,yi,1)+(COUNTIF(yi,E507)-1)/2)</f>
        <v>#VALUE!</v>
      </c>
      <c r="H507" s="224" t="e">
        <f aca="false">IF(OR(F507="",G507=""),"",F507*G507)</f>
        <v>#VALUE!</v>
      </c>
      <c r="I507" s="224" t="e">
        <f aca="false">IF(OR(F507="",G507=""),"",F507^2)</f>
        <v>#VALUE!</v>
      </c>
      <c r="J507" s="224" t="e">
        <f aca="false">IF(OR(F507="",G507=""),"",G507^2)</f>
        <v>#VALUE!</v>
      </c>
      <c r="L507" s="41"/>
      <c r="M507" s="41"/>
      <c r="N507" s="41"/>
      <c r="O507" s="41"/>
      <c r="P507" s="41"/>
      <c r="Q507" s="41"/>
    </row>
    <row collapsed="false" customFormat="false" customHeight="true" hidden="false" ht="11.4" outlineLevel="0" r="508">
      <c r="B508" s="42"/>
      <c r="C508" s="43"/>
      <c r="D508" s="169" t="e">
        <f aca="false">IF(OR(D428="",E428=""),"",D428)</f>
        <v>#VALUE!</v>
      </c>
      <c r="E508" s="169" t="e">
        <f aca="false">IF(OR(E428="",D428=""),"",E428)</f>
        <v>#VALUE!</v>
      </c>
      <c r="F508" s="223" t="e">
        <f aca="false">IF(OR(D508="",E508=""),"",RANK(D508,xi,1)+(COUNTIF(xi,D508)-1)/2)</f>
        <v>#VALUE!</v>
      </c>
      <c r="G508" s="225" t="e">
        <f aca="false">IF(OR(E508="",F508=""),"",RANK(E508,yi,1)+(COUNTIF(yi,E508)-1)/2)</f>
        <v>#VALUE!</v>
      </c>
      <c r="H508" s="224" t="e">
        <f aca="false">IF(OR(F508="",G508=""),"",F508*G508)</f>
        <v>#VALUE!</v>
      </c>
      <c r="I508" s="224" t="e">
        <f aca="false">IF(OR(F508="",G508=""),"",F508^2)</f>
        <v>#VALUE!</v>
      </c>
      <c r="J508" s="224" t="e">
        <f aca="false">IF(OR(F508="",G508=""),"",G508^2)</f>
        <v>#VALUE!</v>
      </c>
      <c r="L508" s="41"/>
      <c r="M508" s="41"/>
      <c r="N508" s="41"/>
      <c r="O508" s="41"/>
      <c r="P508" s="41"/>
      <c r="Q508" s="41"/>
    </row>
    <row collapsed="false" customFormat="false" customHeight="true" hidden="false" ht="11.4" outlineLevel="0" r="509">
      <c r="B509" s="42"/>
      <c r="C509" s="43"/>
      <c r="D509" s="169" t="e">
        <f aca="false">IF(OR(D429="",E429=""),"",D429)</f>
        <v>#VALUE!</v>
      </c>
      <c r="E509" s="169" t="e">
        <f aca="false">IF(OR(E429="",D429=""),"",E429)</f>
        <v>#VALUE!</v>
      </c>
      <c r="F509" s="223" t="e">
        <f aca="false">IF(OR(D509="",E509=""),"",RANK(D509,xi,1)+(COUNTIF(xi,D509)-1)/2)</f>
        <v>#VALUE!</v>
      </c>
      <c r="G509" s="225" t="e">
        <f aca="false">IF(OR(E509="",F509=""),"",RANK(E509,yi,1)+(COUNTIF(yi,E509)-1)/2)</f>
        <v>#VALUE!</v>
      </c>
      <c r="H509" s="224" t="e">
        <f aca="false">IF(OR(F509="",G509=""),"",F509*G509)</f>
        <v>#VALUE!</v>
      </c>
      <c r="I509" s="224" t="e">
        <f aca="false">IF(OR(F509="",G509=""),"",F509^2)</f>
        <v>#VALUE!</v>
      </c>
      <c r="J509" s="224" t="e">
        <f aca="false">IF(OR(F509="",G509=""),"",G509^2)</f>
        <v>#VALUE!</v>
      </c>
      <c r="L509" s="41"/>
      <c r="M509" s="41"/>
      <c r="N509" s="41"/>
      <c r="O509" s="41"/>
      <c r="P509" s="41"/>
      <c r="Q509" s="41"/>
    </row>
    <row collapsed="false" customFormat="false" customHeight="true" hidden="false" ht="11.4" outlineLevel="0" r="510">
      <c r="B510" s="42"/>
      <c r="C510" s="43"/>
      <c r="D510" s="169" t="e">
        <f aca="false">IF(OR(D430="",E430=""),"",D430)</f>
        <v>#VALUE!</v>
      </c>
      <c r="E510" s="169" t="e">
        <f aca="false">IF(OR(E430="",D430=""),"",E430)</f>
        <v>#VALUE!</v>
      </c>
      <c r="F510" s="223" t="e">
        <f aca="false">IF(OR(D510="",E510=""),"",RANK(D510,xi,1)+(COUNTIF(xi,D510)-1)/2)</f>
        <v>#VALUE!</v>
      </c>
      <c r="G510" s="225" t="e">
        <f aca="false">IF(OR(E510="",F510=""),"",RANK(E510,yi,1)+(COUNTIF(yi,E510)-1)/2)</f>
        <v>#VALUE!</v>
      </c>
      <c r="H510" s="224" t="e">
        <f aca="false">IF(OR(F510="",G510=""),"",F510*G510)</f>
        <v>#VALUE!</v>
      </c>
      <c r="I510" s="224" t="e">
        <f aca="false">IF(OR(F510="",G510=""),"",F510^2)</f>
        <v>#VALUE!</v>
      </c>
      <c r="J510" s="224" t="e">
        <f aca="false">IF(OR(F510="",G510=""),"",G510^2)</f>
        <v>#VALUE!</v>
      </c>
      <c r="L510" s="41"/>
      <c r="M510" s="41"/>
      <c r="N510" s="41"/>
      <c r="O510" s="41"/>
      <c r="P510" s="41"/>
      <c r="Q510" s="41"/>
    </row>
    <row collapsed="false" customFormat="false" customHeight="true" hidden="false" ht="11.4" outlineLevel="0" r="511">
      <c r="B511" s="42"/>
      <c r="C511" s="7"/>
      <c r="D511" s="169" t="n">
        <f aca="false">IF(OR(D431="",E431=""),"",D431)</f>
        <v>0</v>
      </c>
      <c r="E511" s="169" t="n">
        <f aca="false">IF(OR(E431="",D431=""),"",E431)</f>
        <v>0</v>
      </c>
      <c r="F511" s="223" t="n">
        <f aca="false">IF(OR(D511="",E511=""),"",RANK(D511,xi,1)+(COUNTIF(xi,D511)-1)/2)</f>
        <v>0</v>
      </c>
      <c r="G511" s="225" t="n">
        <f aca="false">IF(OR(E511="",F511=""),"",RANK(E511,yi,1)+(COUNTIF(yi,E511)-1)/2)</f>
        <v>0</v>
      </c>
      <c r="H511" s="224" t="n">
        <f aca="false">IF(OR(F511="",G511=""),"",F511*G511)</f>
        <v>0</v>
      </c>
      <c r="I511" s="224" t="str">
        <f aca="false">IF(OR(F511="",G511=""),"",F511^2)</f>
        <v/>
      </c>
      <c r="J511" s="224" t="str">
        <f aca="false">IF(OR(F511="",G511=""),"",G511^2)</f>
        <v/>
      </c>
      <c r="L511" s="41"/>
      <c r="M511" s="41"/>
      <c r="N511" s="41"/>
      <c r="O511" s="41"/>
      <c r="P511" s="41"/>
      <c r="Q511" s="41"/>
    </row>
    <row collapsed="false" customFormat="false" customHeight="true" hidden="false" ht="11.4" outlineLevel="0" r="512">
      <c r="B512" s="42"/>
      <c r="C512" s="43"/>
      <c r="D512" s="169" t="e">
        <f aca="false">IF(OR(D432="",E432=""),"",D432)</f>
        <v>#VALUE!</v>
      </c>
      <c r="E512" s="169" t="e">
        <f aca="false">IF(OR(E432="",D432=""),"",E432)</f>
        <v>#VALUE!</v>
      </c>
      <c r="F512" s="223" t="e">
        <f aca="false">IF(OR(D512="",E512=""),"",RANK(D512,xi,1)+(COUNTIF(xi,D512)-1)/2)</f>
        <v>#VALUE!</v>
      </c>
      <c r="G512" s="225" t="e">
        <f aca="false">IF(OR(E512="",F512=""),"",RANK(E512,yi,1)+(COUNTIF(yi,E512)-1)/2)</f>
        <v>#VALUE!</v>
      </c>
      <c r="H512" s="224" t="e">
        <f aca="false">IF(OR(F512="",G512=""),"",F512*G512)</f>
        <v>#VALUE!</v>
      </c>
      <c r="I512" s="224" t="e">
        <f aca="false">IF(OR(F512="",G512=""),"",F512^2)</f>
        <v>#VALUE!</v>
      </c>
      <c r="J512" s="224" t="e">
        <f aca="false">IF(OR(F512="",G512=""),"",G512^2)</f>
        <v>#VALUE!</v>
      </c>
      <c r="L512" s="41"/>
      <c r="M512" s="41"/>
      <c r="N512" s="41"/>
      <c r="O512" s="41"/>
      <c r="P512" s="41"/>
      <c r="Q512" s="41"/>
    </row>
    <row collapsed="false" customFormat="false" customHeight="true" hidden="false" ht="11.4" outlineLevel="0" r="513">
      <c r="B513" s="42"/>
      <c r="C513" s="43"/>
      <c r="D513" s="169" t="e">
        <f aca="false">IF(OR(D433="",E433=""),"",D433)</f>
        <v>#VALUE!</v>
      </c>
      <c r="E513" s="169" t="e">
        <f aca="false">IF(OR(E433="",D433=""),"",E433)</f>
        <v>#VALUE!</v>
      </c>
      <c r="F513" s="223" t="e">
        <f aca="false">IF(OR(D513="",E513=""),"",RANK(D513,xi,1)+(COUNTIF(xi,D513)-1)/2)</f>
        <v>#VALUE!</v>
      </c>
      <c r="G513" s="225" t="e">
        <f aca="false">IF(OR(E513="",F513=""),"",RANK(E513,yi,1)+(COUNTIF(yi,E513)-1)/2)</f>
        <v>#VALUE!</v>
      </c>
      <c r="H513" s="224" t="e">
        <f aca="false">IF(OR(F513="",G513=""),"",F513*G513)</f>
        <v>#VALUE!</v>
      </c>
      <c r="I513" s="224" t="e">
        <f aca="false">IF(OR(F513="",G513=""),"",F513^2)</f>
        <v>#VALUE!</v>
      </c>
      <c r="J513" s="224" t="e">
        <f aca="false">IF(OR(F513="",G513=""),"",G513^2)</f>
        <v>#VALUE!</v>
      </c>
      <c r="L513" s="41"/>
    </row>
    <row collapsed="false" customFormat="false" customHeight="true" hidden="false" ht="11.4" outlineLevel="0" r="514">
      <c r="B514" s="42"/>
      <c r="C514" s="43"/>
      <c r="D514" s="169" t="e">
        <f aca="false">IF(OR(D434="",E434=""),"",D434)</f>
        <v>#VALUE!</v>
      </c>
      <c r="E514" s="169" t="e">
        <f aca="false">IF(OR(E434="",D434=""),"",E434)</f>
        <v>#VALUE!</v>
      </c>
      <c r="F514" s="223" t="e">
        <f aca="false">IF(OR(D514="",E514=""),"",RANK(D514,xi,1)+(COUNTIF(xi,D514)-1)/2)</f>
        <v>#VALUE!</v>
      </c>
      <c r="G514" s="225" t="e">
        <f aca="false">IF(OR(E514="",F514=""),"",RANK(E514,yi,1)+(COUNTIF(yi,E514)-1)/2)</f>
        <v>#VALUE!</v>
      </c>
      <c r="H514" s="224" t="e">
        <f aca="false">IF(OR(F514="",G514=""),"",F514*G514)</f>
        <v>#VALUE!</v>
      </c>
      <c r="I514" s="224" t="e">
        <f aca="false">IF(OR(F514="",G514=""),"",F514^2)</f>
        <v>#VALUE!</v>
      </c>
      <c r="J514" s="224" t="e">
        <f aca="false">IF(OR(F514="",G514=""),"",G514^2)</f>
        <v>#VALUE!</v>
      </c>
      <c r="L514" s="41"/>
    </row>
    <row collapsed="false" customFormat="false" customHeight="true" hidden="false" ht="11.4" outlineLevel="0" r="515">
      <c r="B515" s="42"/>
      <c r="C515" s="43"/>
      <c r="D515" s="169" t="e">
        <f aca="false">IF(OR(D435="",E435=""),"",D435)</f>
        <v>#VALUE!</v>
      </c>
      <c r="E515" s="169" t="e">
        <f aca="false">IF(OR(E435="",D435=""),"",E435)</f>
        <v>#VALUE!</v>
      </c>
      <c r="F515" s="223" t="e">
        <f aca="false">IF(OR(D515="",E515=""),"",RANK(D515,xi,1)+(COUNTIF(xi,D515)-1)/2)</f>
        <v>#VALUE!</v>
      </c>
      <c r="G515" s="225" t="e">
        <f aca="false">IF(OR(E515="",F515=""),"",RANK(E515,yi,1)+(COUNTIF(yi,E515)-1)/2)</f>
        <v>#VALUE!</v>
      </c>
      <c r="H515" s="224" t="e">
        <f aca="false">IF(OR(F515="",G515=""),"",F515*G515)</f>
        <v>#VALUE!</v>
      </c>
      <c r="I515" s="224" t="e">
        <f aca="false">IF(OR(F515="",G515=""),"",F515^2)</f>
        <v>#VALUE!</v>
      </c>
      <c r="J515" s="224" t="e">
        <f aca="false">IF(OR(F515="",G515=""),"",G515^2)</f>
        <v>#VALUE!</v>
      </c>
      <c r="L515" s="41"/>
    </row>
    <row collapsed="false" customFormat="false" customHeight="true" hidden="false" ht="11.4" outlineLevel="0" r="516">
      <c r="B516" s="42"/>
      <c r="C516" s="43"/>
      <c r="D516" s="169" t="e">
        <f aca="false">IF(OR(D436="",E436=""),"",D436)</f>
        <v>#VALUE!</v>
      </c>
      <c r="E516" s="169" t="e">
        <f aca="false">IF(OR(E436="",D436=""),"",E436)</f>
        <v>#VALUE!</v>
      </c>
      <c r="F516" s="223" t="e">
        <f aca="false">IF(OR(D516="",E516=""),"",RANK(D516,xi,1)+(COUNTIF(xi,D516)-1)/2)</f>
        <v>#VALUE!</v>
      </c>
      <c r="G516" s="225" t="e">
        <f aca="false">IF(OR(E516="",F516=""),"",RANK(E516,yi,1)+(COUNTIF(yi,E516)-1)/2)</f>
        <v>#VALUE!</v>
      </c>
      <c r="H516" s="224" t="e">
        <f aca="false">IF(OR(F516="",G516=""),"",F516*G516)</f>
        <v>#VALUE!</v>
      </c>
      <c r="I516" s="224" t="e">
        <f aca="false">IF(OR(F516="",G516=""),"",F516^2)</f>
        <v>#VALUE!</v>
      </c>
      <c r="J516" s="224" t="e">
        <f aca="false">IF(OR(F516="",G516=""),"",G516^2)</f>
        <v>#VALUE!</v>
      </c>
      <c r="L516" s="41"/>
    </row>
    <row collapsed="false" customFormat="false" customHeight="true" hidden="false" ht="11.4" outlineLevel="0" r="517">
      <c r="B517" s="42"/>
      <c r="C517" s="43"/>
      <c r="D517" s="169" t="e">
        <f aca="false">IF(OR(D437="",E437=""),"",D437)</f>
        <v>#VALUE!</v>
      </c>
      <c r="E517" s="169" t="e">
        <f aca="false">IF(OR(E437="",D437=""),"",E437)</f>
        <v>#VALUE!</v>
      </c>
      <c r="F517" s="223" t="e">
        <f aca="false">IF(OR(D517="",E517=""),"",RANK(D517,xi,1)+(COUNTIF(xi,D517)-1)/2)</f>
        <v>#VALUE!</v>
      </c>
      <c r="G517" s="225" t="e">
        <f aca="false">IF(OR(E517="",F517=""),"",RANK(E517,yi,1)+(COUNTIF(yi,E517)-1)/2)</f>
        <v>#VALUE!</v>
      </c>
      <c r="H517" s="224" t="e">
        <f aca="false">IF(OR(F517="",G517=""),"",F517*G517)</f>
        <v>#VALUE!</v>
      </c>
      <c r="I517" s="224" t="e">
        <f aca="false">IF(OR(F517="",G517=""),"",F517^2)</f>
        <v>#VALUE!</v>
      </c>
      <c r="J517" s="224" t="e">
        <f aca="false">IF(OR(F517="",G517=""),"",G517^2)</f>
        <v>#VALUE!</v>
      </c>
      <c r="L517" s="41"/>
    </row>
    <row collapsed="false" customFormat="false" customHeight="true" hidden="false" ht="11.4" outlineLevel="0" r="518">
      <c r="B518" s="42"/>
      <c r="C518" s="43"/>
      <c r="D518" s="169" t="e">
        <f aca="false">IF(OR(D438="",E438=""),"",D438)</f>
        <v>#VALUE!</v>
      </c>
      <c r="E518" s="169" t="e">
        <f aca="false">IF(OR(E438="",D438=""),"",E438)</f>
        <v>#VALUE!</v>
      </c>
      <c r="F518" s="223" t="e">
        <f aca="false">IF(OR(D518="",E518=""),"",RANK(D518,xi,1)+(COUNTIF(xi,D518)-1)/2)</f>
        <v>#VALUE!</v>
      </c>
      <c r="G518" s="225" t="e">
        <f aca="false">IF(OR(E518="",F518=""),"",RANK(E518,yi,1)+(COUNTIF(yi,E518)-1)/2)</f>
        <v>#VALUE!</v>
      </c>
      <c r="H518" s="224" t="e">
        <f aca="false">IF(OR(F518="",G518=""),"",F518*G518)</f>
        <v>#VALUE!</v>
      </c>
      <c r="I518" s="224" t="e">
        <f aca="false">IF(OR(F518="",G518=""),"",F518^2)</f>
        <v>#VALUE!</v>
      </c>
      <c r="J518" s="224" t="e">
        <f aca="false">IF(OR(F518="",G518=""),"",G518^2)</f>
        <v>#VALUE!</v>
      </c>
      <c r="L518" s="41"/>
    </row>
    <row collapsed="false" customFormat="false" customHeight="true" hidden="false" ht="11.4" outlineLevel="0" r="519">
      <c r="B519" s="42"/>
      <c r="C519" s="43"/>
      <c r="D519" s="169" t="e">
        <f aca="false">IF(OR(D439="",E439=""),"",D439)</f>
        <v>#VALUE!</v>
      </c>
      <c r="E519" s="169" t="e">
        <f aca="false">IF(OR(E439="",D439=""),"",E439)</f>
        <v>#VALUE!</v>
      </c>
      <c r="F519" s="223" t="e">
        <f aca="false">IF(OR(D519="",E519=""),"",RANK(D519,xi,1)+(COUNTIF(xi,D519)-1)/2)</f>
        <v>#VALUE!</v>
      </c>
      <c r="G519" s="225" t="e">
        <f aca="false">IF(OR(E519="",F519=""),"",RANK(E519,yi,1)+(COUNTIF(yi,E519)-1)/2)</f>
        <v>#VALUE!</v>
      </c>
      <c r="H519" s="224" t="e">
        <f aca="false">IF(OR(F519="",G519=""),"",F519*G519)</f>
        <v>#VALUE!</v>
      </c>
      <c r="I519" s="224" t="e">
        <f aca="false">IF(OR(F519="",G519=""),"",F519^2)</f>
        <v>#VALUE!</v>
      </c>
      <c r="J519" s="224" t="e">
        <f aca="false">IF(OR(F519="",G519=""),"",G519^2)</f>
        <v>#VALUE!</v>
      </c>
      <c r="L519" s="41"/>
    </row>
    <row collapsed="false" customFormat="false" customHeight="true" hidden="false" ht="11.4" outlineLevel="0" r="520">
      <c r="B520" s="42"/>
      <c r="C520" s="7"/>
      <c r="D520" s="169" t="e">
        <f aca="false">IF(OR(D440="",E440=""),"",D440)</f>
        <v>#VALUE!</v>
      </c>
      <c r="E520" s="169" t="e">
        <f aca="false">IF(OR(E440="",D440=""),"",E440)</f>
        <v>#VALUE!</v>
      </c>
      <c r="F520" s="223" t="e">
        <f aca="false">IF(OR(D520="",E520=""),"",RANK(D520,xi,1)+(COUNTIF(xi,D520)-1)/2)</f>
        <v>#VALUE!</v>
      </c>
      <c r="G520" s="225" t="e">
        <f aca="false">IF(OR(E520="",F520=""),"",RANK(E520,yi,1)+(COUNTIF(yi,E520)-1)/2)</f>
        <v>#VALUE!</v>
      </c>
      <c r="H520" s="224" t="e">
        <f aca="false">IF(OR(F520="",G520=""),"",F520*G520)</f>
        <v>#VALUE!</v>
      </c>
      <c r="I520" s="224" t="e">
        <f aca="false">IF(OR(F520="",G520=""),"",F520^2)</f>
        <v>#VALUE!</v>
      </c>
      <c r="J520" s="224" t="e">
        <f aca="false">IF(OR(F520="",G520=""),"",G520^2)</f>
        <v>#VALUE!</v>
      </c>
      <c r="L520" s="41"/>
      <c r="M520" s="41"/>
      <c r="N520" s="41"/>
    </row>
    <row collapsed="false" customFormat="false" customHeight="true" hidden="false" ht="11.4" outlineLevel="0" r="521">
      <c r="B521" s="42"/>
      <c r="C521" s="43"/>
      <c r="D521" s="169" t="e">
        <f aca="false">IF(OR(D441="",E441=""),"",D441)</f>
        <v>#VALUE!</v>
      </c>
      <c r="E521" s="169" t="e">
        <f aca="false">IF(OR(E441="",D441=""),"",E441)</f>
        <v>#VALUE!</v>
      </c>
      <c r="F521" s="223" t="e">
        <f aca="false">IF(OR(D521="",E521=""),"",RANK(D521,xi,1)+(COUNTIF(xi,D521)-1)/2)</f>
        <v>#VALUE!</v>
      </c>
      <c r="G521" s="225" t="e">
        <f aca="false">IF(OR(E521="",F521=""),"",RANK(E521,yi,1)+(COUNTIF(yi,E521)-1)/2)</f>
        <v>#VALUE!</v>
      </c>
      <c r="H521" s="224" t="e">
        <f aca="false">IF(OR(F521="",G521=""),"",F521*G521)</f>
        <v>#VALUE!</v>
      </c>
      <c r="I521" s="224" t="e">
        <f aca="false">IF(OR(F521="",G521=""),"",F521^2)</f>
        <v>#VALUE!</v>
      </c>
      <c r="J521" s="224" t="e">
        <f aca="false">IF(OR(F521="",G521=""),"",G521^2)</f>
        <v>#VALUE!</v>
      </c>
      <c r="L521" s="41"/>
      <c r="N521" s="41"/>
    </row>
    <row collapsed="false" customFormat="false" customHeight="true" hidden="false" ht="11.4" outlineLevel="0" r="522">
      <c r="B522" s="42"/>
      <c r="C522" s="43"/>
      <c r="D522" s="169" t="e">
        <f aca="false">IF(OR(D442="",E442=""),"",D442)</f>
        <v>#VALUE!</v>
      </c>
      <c r="E522" s="169" t="e">
        <f aca="false">IF(OR(E442="",D442=""),"",E442)</f>
        <v>#VALUE!</v>
      </c>
      <c r="F522" s="223" t="e">
        <f aca="false">IF(OR(D522="",E522=""),"",RANK(D522,xi,1)+(COUNTIF(xi,D522)-1)/2)</f>
        <v>#VALUE!</v>
      </c>
      <c r="G522" s="225" t="e">
        <f aca="false">IF(OR(E522="",F522=""),"",RANK(E522,yi,1)+(COUNTIF(yi,E522)-1)/2)</f>
        <v>#VALUE!</v>
      </c>
      <c r="H522" s="224" t="e">
        <f aca="false">IF(OR(F522="",G522=""),"",F522*G522)</f>
        <v>#VALUE!</v>
      </c>
      <c r="I522" s="224" t="e">
        <f aca="false">IF(OR(F522="",G522=""),"",F522^2)</f>
        <v>#VALUE!</v>
      </c>
      <c r="J522" s="224" t="e">
        <f aca="false">IF(OR(F522="",G522=""),"",G522^2)</f>
        <v>#VALUE!</v>
      </c>
      <c r="L522" s="41"/>
      <c r="N522" s="41"/>
    </row>
    <row collapsed="false" customFormat="false" customHeight="true" hidden="false" ht="11.4" outlineLevel="0" r="523">
      <c r="B523" s="42"/>
      <c r="C523" s="7"/>
      <c r="D523" s="169" t="e">
        <f aca="false">IF(OR(D443="",E443=""),"",D443)</f>
        <v>#VALUE!</v>
      </c>
      <c r="E523" s="169" t="e">
        <f aca="false">IF(OR(E443="",D443=""),"",E443)</f>
        <v>#VALUE!</v>
      </c>
      <c r="F523" s="223" t="e">
        <f aca="false">IF(OR(D523="",E523=""),"",RANK(D523,xi,1)+(COUNTIF(xi,D523)-1)/2)</f>
        <v>#VALUE!</v>
      </c>
      <c r="G523" s="225" t="e">
        <f aca="false">IF(OR(E523="",F523=""),"",RANK(E523,yi,1)+(COUNTIF(yi,E523)-1)/2)</f>
        <v>#VALUE!</v>
      </c>
      <c r="H523" s="224" t="e">
        <f aca="false">IF(OR(F523="",G523=""),"",F523*G523)</f>
        <v>#VALUE!</v>
      </c>
      <c r="I523" s="224" t="e">
        <f aca="false">IF(OR(F523="",G523=""),"",F523^2)</f>
        <v>#VALUE!</v>
      </c>
      <c r="J523" s="224" t="e">
        <f aca="false">IF(OR(F523="",G523=""),"",G523^2)</f>
        <v>#VALUE!</v>
      </c>
      <c r="L523" s="41"/>
      <c r="N523" s="41"/>
    </row>
    <row collapsed="false" customFormat="false" customHeight="true" hidden="false" ht="11.4" outlineLevel="0" r="524">
      <c r="B524" s="42"/>
      <c r="C524" s="43"/>
      <c r="D524" s="169" t="e">
        <f aca="false">IF(OR(D444="",E444=""),"",D444)</f>
        <v>#VALUE!</v>
      </c>
      <c r="E524" s="169" t="e">
        <f aca="false">IF(OR(E444="",D444=""),"",E444)</f>
        <v>#VALUE!</v>
      </c>
      <c r="F524" s="223" t="e">
        <f aca="false">IF(OR(D524="",E524=""),"",RANK(D524,xi,1)+(COUNTIF(xi,D524)-1)/2)</f>
        <v>#VALUE!</v>
      </c>
      <c r="G524" s="225" t="e">
        <f aca="false">IF(OR(E524="",F524=""),"",RANK(E524,yi,1)+(COUNTIF(yi,E524)-1)/2)</f>
        <v>#VALUE!</v>
      </c>
      <c r="H524" s="224" t="e">
        <f aca="false">IF(OR(F524="",G524=""),"",F524*G524)</f>
        <v>#VALUE!</v>
      </c>
      <c r="I524" s="224" t="e">
        <f aca="false">IF(OR(F524="",G524=""),"",F524^2)</f>
        <v>#VALUE!</v>
      </c>
      <c r="J524" s="224" t="e">
        <f aca="false">IF(OR(F524="",G524=""),"",G524^2)</f>
        <v>#VALUE!</v>
      </c>
      <c r="L524" s="41"/>
      <c r="N524" s="41"/>
    </row>
    <row collapsed="false" customFormat="false" customHeight="true" hidden="false" ht="11.4" outlineLevel="0" r="525">
      <c r="B525" s="42"/>
      <c r="C525" s="43"/>
      <c r="D525" s="169" t="e">
        <f aca="false">IF(OR(D445="",E445=""),"",D445)</f>
        <v>#VALUE!</v>
      </c>
      <c r="E525" s="169" t="e">
        <f aca="false">IF(OR(E445="",D445=""),"",E445)</f>
        <v>#VALUE!</v>
      </c>
      <c r="F525" s="223" t="e">
        <f aca="false">IF(OR(D525="",E525=""),"",RANK(D525,xi,1)+(COUNTIF(xi,D525)-1)/2)</f>
        <v>#VALUE!</v>
      </c>
      <c r="G525" s="225" t="e">
        <f aca="false">IF(OR(E525="",F525=""),"",RANK(E525,yi,1)+(COUNTIF(yi,E525)-1)/2)</f>
        <v>#VALUE!</v>
      </c>
      <c r="H525" s="224" t="e">
        <f aca="false">IF(OR(F525="",G525=""),"",F525*G525)</f>
        <v>#VALUE!</v>
      </c>
      <c r="I525" s="224" t="e">
        <f aca="false">IF(OR(F525="",G525=""),"",F525^2)</f>
        <v>#VALUE!</v>
      </c>
      <c r="J525" s="224" t="e">
        <f aca="false">IF(OR(F525="",G525=""),"",G525^2)</f>
        <v>#VALUE!</v>
      </c>
      <c r="L525" s="41"/>
      <c r="N525" s="41"/>
    </row>
    <row collapsed="false" customFormat="false" customHeight="true" hidden="false" ht="11.4" outlineLevel="0" r="526">
      <c r="B526" s="42"/>
      <c r="C526" s="43"/>
      <c r="D526" s="169" t="e">
        <f aca="false">IF(OR(D446="",E446=""),"",D446)</f>
        <v>#VALUE!</v>
      </c>
      <c r="E526" s="169" t="e">
        <f aca="false">IF(OR(E446="",D446=""),"",E446)</f>
        <v>#VALUE!</v>
      </c>
      <c r="F526" s="223" t="e">
        <f aca="false">IF(OR(D526="",E526=""),"",RANK(D526,xi,1)+(COUNTIF(xi,D526)-1)/2)</f>
        <v>#VALUE!</v>
      </c>
      <c r="G526" s="225" t="e">
        <f aca="false">IF(OR(E526="",F526=""),"",RANK(E526,yi,1)+(COUNTIF(yi,E526)-1)/2)</f>
        <v>#VALUE!</v>
      </c>
      <c r="H526" s="224" t="e">
        <f aca="false">IF(OR(F526="",G526=""),"",F526*G526)</f>
        <v>#VALUE!</v>
      </c>
      <c r="I526" s="224" t="e">
        <f aca="false">IF(OR(F526="",G526=""),"",F526^2)</f>
        <v>#VALUE!</v>
      </c>
      <c r="J526" s="224" t="e">
        <f aca="false">IF(OR(F526="",G526=""),"",G526^2)</f>
        <v>#VALUE!</v>
      </c>
      <c r="L526" s="41"/>
      <c r="N526" s="140"/>
    </row>
    <row collapsed="false" customFormat="false" customHeight="true" hidden="false" ht="11.4" outlineLevel="0" r="527">
      <c r="B527" s="42"/>
      <c r="C527" s="43"/>
      <c r="D527" s="169" t="e">
        <f aca="false">IF(OR(D447="",E447=""),"",D447)</f>
        <v>#VALUE!</v>
      </c>
      <c r="E527" s="169" t="e">
        <f aca="false">IF(OR(E447="",D447=""),"",E447)</f>
        <v>#VALUE!</v>
      </c>
      <c r="F527" s="223" t="e">
        <f aca="false">IF(OR(D527="",E527=""),"",RANK(D527,xi,1)+(COUNTIF(xi,D527)-1)/2)</f>
        <v>#VALUE!</v>
      </c>
      <c r="G527" s="225" t="e">
        <f aca="false">IF(OR(E527="",F527=""),"",RANK(E527,yi,1)+(COUNTIF(yi,E527)-1)/2)</f>
        <v>#VALUE!</v>
      </c>
      <c r="H527" s="224" t="e">
        <f aca="false">IF(OR(F527="",G527=""),"",F527*G527)</f>
        <v>#VALUE!</v>
      </c>
      <c r="I527" s="224" t="e">
        <f aca="false">IF(OR(F527="",G527=""),"",F527^2)</f>
        <v>#VALUE!</v>
      </c>
      <c r="J527" s="224" t="e">
        <f aca="false">IF(OR(F527="",G527=""),"",G527^2)</f>
        <v>#VALUE!</v>
      </c>
      <c r="L527" s="41"/>
    </row>
    <row collapsed="false" customFormat="false" customHeight="true" hidden="false" ht="11.4" outlineLevel="0" r="528">
      <c r="D528" s="226"/>
      <c r="E528" s="226"/>
      <c r="F528" s="226"/>
      <c r="G528" s="226"/>
      <c r="H528" s="206"/>
      <c r="I528" s="206"/>
      <c r="J528" s="226"/>
      <c r="K528" s="41"/>
      <c r="L528" s="41"/>
    </row>
    <row collapsed="false" customFormat="false" customHeight="true" hidden="false" ht="11.4" outlineLevel="0" r="529">
      <c r="C529" s="227"/>
      <c r="D529" s="224" t="e">
        <f aca="false">SUM(D461:D527)</f>
        <v>#VALUE!</v>
      </c>
      <c r="E529" s="224" t="e">
        <f aca="false">SUM(E461:E527)</f>
        <v>#VALUE!</v>
      </c>
      <c r="F529" s="224" t="e">
        <f aca="false">SUM(F461:F527)</f>
        <v>#VALUE!</v>
      </c>
      <c r="G529" s="224" t="e">
        <f aca="false">SUM(G461:G527)</f>
        <v>#VALUE!</v>
      </c>
      <c r="H529" s="224" t="e">
        <f aca="false">SUM(H461:H527)</f>
        <v>#VALUE!</v>
      </c>
      <c r="I529" s="224" t="e">
        <f aca="false">SUM(I461:I527)</f>
        <v>#VALUE!</v>
      </c>
      <c r="J529" s="224" t="e">
        <f aca="false">SUM(J461:J527)</f>
        <v>#VALUE!</v>
      </c>
      <c r="K529" s="228"/>
      <c r="L529" s="41"/>
    </row>
    <row collapsed="false" customFormat="false" customHeight="true" hidden="false" ht="11.4" outlineLevel="0" r="530">
      <c r="K530" s="41"/>
      <c r="L530" s="228"/>
    </row>
    <row collapsed="false" customFormat="false" customHeight="true" hidden="false" ht="11.4" outlineLevel="0" r="531">
      <c r="C531" s="226"/>
      <c r="D531" s="52" t="n">
        <f aca="false">COUNT(xi)</f>
        <v>0</v>
      </c>
      <c r="E531" s="52" t="n">
        <f aca="false">COUNT(yi)</f>
        <v>0</v>
      </c>
      <c r="F531" s="41"/>
      <c r="G531" s="55" t="s">
        <v>183</v>
      </c>
      <c r="H531" s="141"/>
      <c r="I531" s="56" t="n">
        <f aca="false">(E451*(E451+1)^2)/4</f>
        <v>0</v>
      </c>
      <c r="J531" s="61"/>
      <c r="L531" s="41"/>
    </row>
    <row collapsed="false" customFormat="false" customHeight="true" hidden="false" ht="11.4" outlineLevel="0" r="532">
      <c r="F532" s="41"/>
      <c r="G532" s="41"/>
      <c r="H532" s="41"/>
      <c r="I532" s="41"/>
      <c r="J532" s="41"/>
    </row>
    <row collapsed="false" customFormat="false" customHeight="true" hidden="false" ht="11.4" outlineLevel="0" r="533">
      <c r="F533" s="41"/>
      <c r="G533" s="55" t="s">
        <v>184</v>
      </c>
      <c r="H533" s="141"/>
      <c r="I533" s="56" t="e">
        <f aca="false">(H529-I531)/((I529-I531)^0.5*(J529-I531)^0.5)</f>
        <v>#VALUE!</v>
      </c>
      <c r="J533" s="41"/>
    </row>
    <row collapsed="false" customFormat="false" customHeight="true" hidden="false" ht="11.4" outlineLevel="0" r="534">
      <c r="F534" s="41"/>
      <c r="G534" s="41"/>
      <c r="H534" s="41"/>
      <c r="I534" s="41"/>
      <c r="J534" s="41"/>
    </row>
    <row collapsed="false" customFormat="false" customHeight="true" hidden="false" ht="11.4" outlineLevel="0" r="535">
      <c r="F535" s="41"/>
      <c r="G535" s="55" t="s">
        <v>185</v>
      </c>
      <c r="H535" s="141"/>
      <c r="I535" s="56" t="e">
        <f aca="false">I533*SQRT(E451-1)</f>
        <v>#VALUE!</v>
      </c>
      <c r="J535" s="41"/>
    </row>
    <row collapsed="false" customFormat="false" customHeight="true" hidden="false" ht="11.4" outlineLevel="0" r="536">
      <c r="F536" s="41"/>
      <c r="G536" s="41"/>
      <c r="H536" s="41"/>
      <c r="I536" s="41"/>
      <c r="J536" s="41"/>
    </row>
    <row collapsed="false" customFormat="false" customHeight="true" hidden="false" ht="11.4" outlineLevel="0" r="537">
      <c r="F537" s="41"/>
      <c r="G537" s="41"/>
      <c r="H537" s="41"/>
      <c r="I537" s="41"/>
      <c r="J537" s="41"/>
    </row>
    <row collapsed="false" customFormat="false" customHeight="true" hidden="false" ht="11.4" outlineLevel="0" r="538">
      <c r="B538" s="7"/>
      <c r="C538" s="7"/>
      <c r="D538" s="157" t="s">
        <v>186</v>
      </c>
      <c r="E538" s="157" t="s">
        <v>187</v>
      </c>
      <c r="F538" s="221" t="s">
        <v>188</v>
      </c>
      <c r="G538" s="221" t="s">
        <v>189</v>
      </c>
      <c r="H538" s="221" t="s">
        <v>190</v>
      </c>
      <c r="I538" s="221" t="s">
        <v>191</v>
      </c>
      <c r="J538" s="221" t="s">
        <v>192</v>
      </c>
    </row>
    <row collapsed="false" customFormat="false" customHeight="true" hidden="false" ht="11.4" outlineLevel="0" r="539">
      <c r="B539" s="7"/>
      <c r="C539" s="90"/>
      <c r="D539" s="47"/>
      <c r="E539" s="47"/>
      <c r="F539" s="41"/>
      <c r="G539" s="41"/>
      <c r="H539" s="41"/>
      <c r="I539" s="41"/>
      <c r="J539" s="41"/>
    </row>
    <row collapsed="false" customFormat="false" customHeight="true" hidden="false" ht="11.4" outlineLevel="0" r="540">
      <c r="B540" s="42"/>
      <c r="C540" s="43"/>
      <c r="D540" s="47" t="e">
        <f aca="false">IF(OR(I382="",J382=""),"",I382)</f>
        <v>#VALUE!</v>
      </c>
      <c r="E540" s="47" t="e">
        <f aca="false">IF(OR(I382="",J382=""),"",J382)</f>
        <v>#VALUE!</v>
      </c>
      <c r="F540" s="223" t="e">
        <f aca="false">IF(OR(D540="",E540=""),"",RANK(D540,Uxi,1)+(COUNTIF(Uxi,D540)-1)/2)</f>
        <v>#VALUE!</v>
      </c>
      <c r="G540" s="223" t="e">
        <f aca="false">IF(OR(E540="",F540=""),"",RANK(E540,Uyi,1)+(COUNTIF(Uyi,E540)-1)/2)</f>
        <v>#VALUE!</v>
      </c>
      <c r="H540" s="224" t="e">
        <f aca="false">IF(OR(F540="",G540=""),"",F540*G540)</f>
        <v>#VALUE!</v>
      </c>
      <c r="I540" s="224" t="e">
        <f aca="false">IF(OR(F540="",G540=""),"",F540^2)</f>
        <v>#VALUE!</v>
      </c>
      <c r="J540" s="224" t="e">
        <f aca="false">IF(OR(F540="",G540=""),"",G540^2)</f>
        <v>#VALUE!</v>
      </c>
    </row>
    <row collapsed="false" customFormat="false" customHeight="true" hidden="false" ht="11.4" outlineLevel="0" r="541">
      <c r="B541" s="42"/>
      <c r="C541" s="91"/>
      <c r="D541" s="47" t="e">
        <f aca="false">IF(OR(I383="",J383=""),"",I383)</f>
        <v>#VALUE!</v>
      </c>
      <c r="E541" s="47" t="e">
        <f aca="false">IF(OR(I383="",J383=""),"",J383)</f>
        <v>#VALUE!</v>
      </c>
      <c r="F541" s="223" t="e">
        <f aca="false">IF(OR(D541="",E541=""),"",RANK(D541,Uxi,1)+(COUNTIF(Uxi,D541)-1)/2)</f>
        <v>#VALUE!</v>
      </c>
      <c r="G541" s="223" t="e">
        <f aca="false">IF(OR(E541="",F541=""),"",RANK(E541,Uyi,1)+(COUNTIF(Uyi,E541)-1)/2)</f>
        <v>#VALUE!</v>
      </c>
      <c r="H541" s="224" t="e">
        <f aca="false">IF(OR(F541="",G541=""),"",F541*G541)</f>
        <v>#VALUE!</v>
      </c>
      <c r="I541" s="224" t="e">
        <f aca="false">IF(OR(F541="",G541=""),"",F541^2)</f>
        <v>#VALUE!</v>
      </c>
      <c r="J541" s="224" t="e">
        <f aca="false">IF(OR(F541="",G541=""),"",G541^2)</f>
        <v>#VALUE!</v>
      </c>
    </row>
    <row collapsed="false" customFormat="false" customHeight="true" hidden="false" ht="11.4" outlineLevel="0" r="542">
      <c r="B542" s="42"/>
      <c r="C542" s="90"/>
      <c r="D542" s="47" t="e">
        <f aca="false">IF(OR(I384="",J384=""),"",I384)</f>
        <v>#VALUE!</v>
      </c>
      <c r="E542" s="47" t="e">
        <f aca="false">IF(OR(I384="",J384=""),"",J384)</f>
        <v>#VALUE!</v>
      </c>
      <c r="F542" s="223" t="e">
        <f aca="false">IF(OR(D542="",E542=""),"",RANK(D542,Uxi,1)+(COUNTIF(Uxi,D542)-1)/2)</f>
        <v>#VALUE!</v>
      </c>
      <c r="G542" s="223" t="e">
        <f aca="false">IF(OR(E542="",F542=""),"",RANK(E542,Uyi,1)+(COUNTIF(Uyi,E542)-1)/2)</f>
        <v>#VALUE!</v>
      </c>
      <c r="H542" s="224" t="e">
        <f aca="false">IF(OR(F542="",G542=""),"",F542*G542)</f>
        <v>#VALUE!</v>
      </c>
      <c r="I542" s="224" t="e">
        <f aca="false">IF(OR(F542="",G542=""),"",F542^2)</f>
        <v>#VALUE!</v>
      </c>
      <c r="J542" s="224" t="e">
        <f aca="false">IF(OR(F542="",G542=""),"",G542^2)</f>
        <v>#VALUE!</v>
      </c>
    </row>
    <row collapsed="false" customFormat="false" customHeight="true" hidden="false" ht="11.4" outlineLevel="0" r="543">
      <c r="B543" s="42"/>
      <c r="C543" s="43"/>
      <c r="D543" s="47" t="e">
        <f aca="false">IF(OR(I385="",J385=""),"",I385)</f>
        <v>#VALUE!</v>
      </c>
      <c r="E543" s="47" t="e">
        <f aca="false">IF(OR(I385="",J385=""),"",J385)</f>
        <v>#VALUE!</v>
      </c>
      <c r="F543" s="223" t="e">
        <f aca="false">IF(OR(D543="",E543=""),"",RANK(D543,Uxi,1)+(COUNTIF(Uxi,D543)-1)/2)</f>
        <v>#VALUE!</v>
      </c>
      <c r="G543" s="223" t="e">
        <f aca="false">IF(OR(E543="",F543=""),"",RANK(E543,Uyi,1)+(COUNTIF(Uyi,E543)-1)/2)</f>
        <v>#VALUE!</v>
      </c>
      <c r="H543" s="224" t="e">
        <f aca="false">IF(OR(F543="",G543=""),"",F543*G543)</f>
        <v>#VALUE!</v>
      </c>
      <c r="I543" s="224" t="e">
        <f aca="false">IF(OR(F543="",G543=""),"",F543^2)</f>
        <v>#VALUE!</v>
      </c>
      <c r="J543" s="224" t="e">
        <f aca="false">IF(OR(F543="",G543=""),"",G543^2)</f>
        <v>#VALUE!</v>
      </c>
    </row>
    <row collapsed="false" customFormat="false" customHeight="true" hidden="false" ht="11.4" outlineLevel="0" r="544">
      <c r="B544" s="42"/>
      <c r="C544" s="43"/>
      <c r="D544" s="47" t="e">
        <f aca="false">IF(OR(I386="",J386=""),"",I386)</f>
        <v>#VALUE!</v>
      </c>
      <c r="E544" s="47" t="e">
        <f aca="false">IF(OR(I386="",J386=""),"",J386)</f>
        <v>#VALUE!</v>
      </c>
      <c r="F544" s="223" t="e">
        <f aca="false">IF(OR(D544="",E544=""),"",RANK(D544,Uxi,1)+(COUNTIF(Uxi,D544)-1)/2)</f>
        <v>#VALUE!</v>
      </c>
      <c r="G544" s="223" t="e">
        <f aca="false">IF(OR(E544="",F544=""),"",RANK(E544,Uyi,1)+(COUNTIF(Uyi,E544)-1)/2)</f>
        <v>#VALUE!</v>
      </c>
      <c r="H544" s="224" t="e">
        <f aca="false">IF(OR(F544="",G544=""),"",F544*G544)</f>
        <v>#VALUE!</v>
      </c>
      <c r="I544" s="224" t="e">
        <f aca="false">IF(OR(F544="",G544=""),"",F544^2)</f>
        <v>#VALUE!</v>
      </c>
      <c r="J544" s="224" t="e">
        <f aca="false">IF(OR(F544="",G544=""),"",G544^2)</f>
        <v>#VALUE!</v>
      </c>
    </row>
    <row collapsed="false" customFormat="false" customHeight="true" hidden="false" ht="11.4" outlineLevel="0" r="545">
      <c r="B545" s="42"/>
      <c r="C545" s="43"/>
      <c r="D545" s="47" t="e">
        <f aca="false">IF(OR(I387="",J387=""),"",I387)</f>
        <v>#VALUE!</v>
      </c>
      <c r="E545" s="47" t="e">
        <f aca="false">IF(OR(I387="",J387=""),"",J387)</f>
        <v>#VALUE!</v>
      </c>
      <c r="F545" s="223" t="e">
        <f aca="false">IF(OR(D545="",E545=""),"",RANK(D545,Uxi,1)+(COUNTIF(Uxi,D545)-1)/2)</f>
        <v>#VALUE!</v>
      </c>
      <c r="G545" s="223" t="e">
        <f aca="false">IF(OR(E545="",F545=""),"",RANK(E545,Uyi,1)+(COUNTIF(Uyi,E545)-1)/2)</f>
        <v>#VALUE!</v>
      </c>
      <c r="H545" s="224" t="e">
        <f aca="false">IF(OR(F545="",G545=""),"",F545*G545)</f>
        <v>#VALUE!</v>
      </c>
      <c r="I545" s="224" t="e">
        <f aca="false">IF(OR(F545="",G545=""),"",F545^2)</f>
        <v>#VALUE!</v>
      </c>
      <c r="J545" s="224" t="e">
        <f aca="false">IF(OR(F545="",G545=""),"",G545^2)</f>
        <v>#VALUE!</v>
      </c>
    </row>
    <row collapsed="false" customFormat="false" customHeight="true" hidden="false" ht="11.4" outlineLevel="0" r="546">
      <c r="B546" s="42"/>
      <c r="C546" s="43"/>
      <c r="D546" s="47" t="e">
        <f aca="false">IF(OR(I388="",J388=""),"",I388)</f>
        <v>#VALUE!</v>
      </c>
      <c r="E546" s="47" t="e">
        <f aca="false">IF(OR(I388="",J388=""),"",J388)</f>
        <v>#VALUE!</v>
      </c>
      <c r="F546" s="223" t="e">
        <f aca="false">IF(OR(D546="",E546=""),"",RANK(D546,Uxi,1)+(COUNTIF(Uxi,D546)-1)/2)</f>
        <v>#VALUE!</v>
      </c>
      <c r="G546" s="223" t="e">
        <f aca="false">IF(OR(E546="",F546=""),"",RANK(E546,Uyi,1)+(COUNTIF(Uyi,E546)-1)/2)</f>
        <v>#VALUE!</v>
      </c>
      <c r="H546" s="224" t="e">
        <f aca="false">IF(OR(F546="",G546=""),"",F546*G546)</f>
        <v>#VALUE!</v>
      </c>
      <c r="I546" s="224" t="e">
        <f aca="false">IF(OR(F546="",G546=""),"",F546^2)</f>
        <v>#VALUE!</v>
      </c>
      <c r="J546" s="224" t="e">
        <f aca="false">IF(OR(F546="",G546=""),"",G546^2)</f>
        <v>#VALUE!</v>
      </c>
    </row>
    <row collapsed="false" customFormat="false" customHeight="true" hidden="false" ht="11.4" outlineLevel="0" r="547">
      <c r="B547" s="42"/>
      <c r="C547" s="43"/>
      <c r="D547" s="47" t="e">
        <f aca="false">IF(OR(I389="",J389=""),"",I389)</f>
        <v>#VALUE!</v>
      </c>
      <c r="E547" s="47" t="e">
        <f aca="false">IF(OR(I389="",J389=""),"",J389)</f>
        <v>#VALUE!</v>
      </c>
      <c r="F547" s="223" t="e">
        <f aca="false">IF(OR(D547="",E547=""),"",RANK(D547,Uxi,1)+(COUNTIF(Uxi,D547)-1)/2)</f>
        <v>#VALUE!</v>
      </c>
      <c r="G547" s="223" t="e">
        <f aca="false">IF(OR(E547="",F547=""),"",RANK(E547,Uyi,1)+(COUNTIF(Uyi,E547)-1)/2)</f>
        <v>#VALUE!</v>
      </c>
      <c r="H547" s="224" t="e">
        <f aca="false">IF(OR(F547="",G547=""),"",F547*G547)</f>
        <v>#VALUE!</v>
      </c>
      <c r="I547" s="224" t="e">
        <f aca="false">IF(OR(F547="",G547=""),"",F547^2)</f>
        <v>#VALUE!</v>
      </c>
      <c r="J547" s="224" t="e">
        <f aca="false">IF(OR(F547="",G547=""),"",G547^2)</f>
        <v>#VALUE!</v>
      </c>
    </row>
    <row collapsed="false" customFormat="false" customHeight="true" hidden="false" ht="11.4" outlineLevel="0" r="548">
      <c r="B548" s="42"/>
      <c r="C548" s="43"/>
      <c r="D548" s="47" t="e">
        <f aca="false">IF(OR(I390="",J390=""),"",I390)</f>
        <v>#VALUE!</v>
      </c>
      <c r="E548" s="47" t="e">
        <f aca="false">IF(OR(I390="",J390=""),"",J390)</f>
        <v>#VALUE!</v>
      </c>
      <c r="F548" s="223" t="e">
        <f aca="false">IF(OR(D548="",E548=""),"",RANK(D548,Uxi,1)+(COUNTIF(Uxi,D548)-1)/2)</f>
        <v>#VALUE!</v>
      </c>
      <c r="G548" s="223" t="e">
        <f aca="false">IF(OR(E548="",F548=""),"",RANK(E548,Uyi,1)+(COUNTIF(Uyi,E548)-1)/2)</f>
        <v>#VALUE!</v>
      </c>
      <c r="H548" s="224" t="e">
        <f aca="false">IF(OR(F548="",G548=""),"",F548*G548)</f>
        <v>#VALUE!</v>
      </c>
      <c r="I548" s="224" t="e">
        <f aca="false">IF(OR(F548="",G548=""),"",F548^2)</f>
        <v>#VALUE!</v>
      </c>
      <c r="J548" s="224" t="e">
        <f aca="false">IF(OR(F548="",G548=""),"",G548^2)</f>
        <v>#VALUE!</v>
      </c>
    </row>
    <row collapsed="false" customFormat="false" customHeight="true" hidden="false" ht="11.4" outlineLevel="0" r="549">
      <c r="B549" s="42"/>
      <c r="C549" s="43"/>
      <c r="D549" s="47" t="e">
        <f aca="false">IF(OR(I391="",J391=""),"",I391)</f>
        <v>#VALUE!</v>
      </c>
      <c r="E549" s="47" t="e">
        <f aca="false">IF(OR(I391="",J391=""),"",J391)</f>
        <v>#VALUE!</v>
      </c>
      <c r="F549" s="223" t="e">
        <f aca="false">IF(OR(D549="",E549=""),"",RANK(D549,Uxi,1)+(COUNTIF(Uxi,D549)-1)/2)</f>
        <v>#VALUE!</v>
      </c>
      <c r="G549" s="223" t="e">
        <f aca="false">IF(OR(E549="",F549=""),"",RANK(E549,Uyi,1)+(COUNTIF(Uyi,E549)-1)/2)</f>
        <v>#VALUE!</v>
      </c>
      <c r="H549" s="224" t="e">
        <f aca="false">IF(OR(F549="",G549=""),"",F549*G549)</f>
        <v>#VALUE!</v>
      </c>
      <c r="I549" s="224" t="e">
        <f aca="false">IF(OR(F549="",G549=""),"",F549^2)</f>
        <v>#VALUE!</v>
      </c>
      <c r="J549" s="224" t="e">
        <f aca="false">IF(OR(F549="",G549=""),"",G549^2)</f>
        <v>#VALUE!</v>
      </c>
    </row>
    <row collapsed="false" customFormat="false" customHeight="true" hidden="false" ht="11.4" outlineLevel="0" r="550">
      <c r="B550" s="42"/>
      <c r="C550" s="43"/>
      <c r="D550" s="47" t="e">
        <f aca="false">IF(OR(I392="",J392=""),"",I392)</f>
        <v>#VALUE!</v>
      </c>
      <c r="E550" s="47" t="e">
        <f aca="false">IF(OR(I392="",J392=""),"",J392)</f>
        <v>#VALUE!</v>
      </c>
      <c r="F550" s="223" t="e">
        <f aca="false">IF(OR(D550="",E550=""),"",RANK(D550,Uxi,1)+(COUNTIF(Uxi,D550)-1)/2)</f>
        <v>#VALUE!</v>
      </c>
      <c r="G550" s="223" t="e">
        <f aca="false">IF(OR(E550="",F550=""),"",RANK(E550,Uyi,1)+(COUNTIF(Uyi,E550)-1)/2)</f>
        <v>#VALUE!</v>
      </c>
      <c r="H550" s="224" t="e">
        <f aca="false">IF(OR(F550="",G550=""),"",F550*G550)</f>
        <v>#VALUE!</v>
      </c>
      <c r="I550" s="224" t="e">
        <f aca="false">IF(OR(F550="",G550=""),"",F550^2)</f>
        <v>#VALUE!</v>
      </c>
      <c r="J550" s="224" t="e">
        <f aca="false">IF(OR(F550="",G550=""),"",G550^2)</f>
        <v>#VALUE!</v>
      </c>
    </row>
    <row collapsed="false" customFormat="false" customHeight="true" hidden="false" ht="11.4" outlineLevel="0" r="551">
      <c r="B551" s="42"/>
      <c r="C551" s="43"/>
      <c r="D551" s="47" t="e">
        <f aca="false">IF(OR(I393="",J393=""),"",I393)</f>
        <v>#VALUE!</v>
      </c>
      <c r="E551" s="47" t="e">
        <f aca="false">IF(OR(I393="",J393=""),"",J393)</f>
        <v>#VALUE!</v>
      </c>
      <c r="F551" s="223" t="e">
        <f aca="false">IF(OR(D551="",E551=""),"",RANK(D551,Uxi,1)+(COUNTIF(Uxi,D551)-1)/2)</f>
        <v>#VALUE!</v>
      </c>
      <c r="G551" s="223" t="e">
        <f aca="false">IF(OR(E551="",F551=""),"",RANK(E551,Uyi,1)+(COUNTIF(Uyi,E551)-1)/2)</f>
        <v>#VALUE!</v>
      </c>
      <c r="H551" s="224" t="e">
        <f aca="false">IF(OR(F551="",G551=""),"",F551*G551)</f>
        <v>#VALUE!</v>
      </c>
      <c r="I551" s="224" t="e">
        <f aca="false">IF(OR(F551="",G551=""),"",F551^2)</f>
        <v>#VALUE!</v>
      </c>
      <c r="J551" s="224" t="e">
        <f aca="false">IF(OR(F551="",G551=""),"",G551^2)</f>
        <v>#VALUE!</v>
      </c>
    </row>
    <row collapsed="false" customFormat="false" customHeight="true" hidden="false" ht="11.4" outlineLevel="0" r="552">
      <c r="B552" s="42"/>
      <c r="C552" s="43"/>
      <c r="D552" s="47" t="e">
        <f aca="false">IF(OR(I394="",J394=""),"",I394)</f>
        <v>#VALUE!</v>
      </c>
      <c r="E552" s="47" t="e">
        <f aca="false">IF(OR(I394="",J394=""),"",J394)</f>
        <v>#VALUE!</v>
      </c>
      <c r="F552" s="223" t="e">
        <f aca="false">IF(OR(D552="",E552=""),"",RANK(D552,Uxi,1)+(COUNTIF(Uxi,D552)-1)/2)</f>
        <v>#VALUE!</v>
      </c>
      <c r="G552" s="223" t="e">
        <f aca="false">IF(OR(E552="",F552=""),"",RANK(E552,Uyi,1)+(COUNTIF(Uyi,E552)-1)/2)</f>
        <v>#VALUE!</v>
      </c>
      <c r="H552" s="224" t="e">
        <f aca="false">IF(OR(F552="",G552=""),"",F552*G552)</f>
        <v>#VALUE!</v>
      </c>
      <c r="I552" s="224" t="e">
        <f aca="false">IF(OR(F552="",G552=""),"",F552^2)</f>
        <v>#VALUE!</v>
      </c>
      <c r="J552" s="224" t="e">
        <f aca="false">IF(OR(F552="",G552=""),"",G552^2)</f>
        <v>#VALUE!</v>
      </c>
    </row>
    <row collapsed="false" customFormat="false" customHeight="true" hidden="false" ht="11.4" outlineLevel="0" r="553">
      <c r="B553" s="42"/>
      <c r="C553" s="90"/>
      <c r="D553" s="47" t="e">
        <f aca="false">IF(OR(I395="",J395=""),"",I395)</f>
        <v>#VALUE!</v>
      </c>
      <c r="E553" s="47" t="e">
        <f aca="false">IF(OR(I395="",J395=""),"",J395)</f>
        <v>#VALUE!</v>
      </c>
      <c r="F553" s="223" t="e">
        <f aca="false">IF(OR(D553="",E553=""),"",RANK(D553,Uxi,1)+(COUNTIF(Uxi,D553)-1)/2)</f>
        <v>#VALUE!</v>
      </c>
      <c r="G553" s="223" t="e">
        <f aca="false">IF(OR(E553="",F553=""),"",RANK(E553,Uyi,1)+(COUNTIF(Uyi,E553)-1)/2)</f>
        <v>#VALUE!</v>
      </c>
      <c r="H553" s="224" t="e">
        <f aca="false">IF(OR(F553="",G553=""),"",F553*G553)</f>
        <v>#VALUE!</v>
      </c>
      <c r="I553" s="224" t="e">
        <f aca="false">IF(OR(F553="",G553=""),"",F553^2)</f>
        <v>#VALUE!</v>
      </c>
      <c r="J553" s="224" t="e">
        <f aca="false">IF(OR(F553="",G553=""),"",G553^2)</f>
        <v>#VALUE!</v>
      </c>
    </row>
    <row collapsed="false" customFormat="false" customHeight="true" hidden="false" ht="11.4" outlineLevel="0" r="554">
      <c r="B554" s="42"/>
      <c r="C554" s="43"/>
      <c r="D554" s="47" t="e">
        <f aca="false">IF(OR(I396="",J396=""),"",I396)</f>
        <v>#VALUE!</v>
      </c>
      <c r="E554" s="47" t="e">
        <f aca="false">IF(OR(I396="",J396=""),"",J396)</f>
        <v>#VALUE!</v>
      </c>
      <c r="F554" s="223" t="e">
        <f aca="false">IF(OR(D554="",E554=""),"",RANK(D554,Uxi,1)+(COUNTIF(Uxi,D554)-1)/2)</f>
        <v>#VALUE!</v>
      </c>
      <c r="G554" s="223" t="e">
        <f aca="false">IF(OR(E554="",F554=""),"",RANK(E554,Uyi,1)+(COUNTIF(Uyi,E554)-1)/2)</f>
        <v>#VALUE!</v>
      </c>
      <c r="H554" s="224" t="e">
        <f aca="false">IF(OR(F554="",G554=""),"",F554*G554)</f>
        <v>#VALUE!</v>
      </c>
      <c r="I554" s="224" t="e">
        <f aca="false">IF(OR(F554="",G554=""),"",F554^2)</f>
        <v>#VALUE!</v>
      </c>
      <c r="J554" s="224" t="e">
        <f aca="false">IF(OR(F554="",G554=""),"",G554^2)</f>
        <v>#VALUE!</v>
      </c>
    </row>
    <row collapsed="false" customFormat="false" customHeight="true" hidden="false" ht="11.4" outlineLevel="0" r="556">
      <c r="C556" s="227" t="s">
        <v>131</v>
      </c>
      <c r="D556" s="224" t="e">
        <f aca="false">SUM(D539:D554)</f>
        <v>#VALUE!</v>
      </c>
      <c r="E556" s="224" t="e">
        <f aca="false">SUM(E539:E554)</f>
        <v>#VALUE!</v>
      </c>
      <c r="F556" s="224" t="e">
        <f aca="false">SUM(F539:F554)</f>
        <v>#VALUE!</v>
      </c>
      <c r="G556" s="224" t="e">
        <f aca="false">SUM(G539:G554)</f>
        <v>#VALUE!</v>
      </c>
      <c r="H556" s="224" t="e">
        <f aca="false">SUM(H539:H554)</f>
        <v>#VALUE!</v>
      </c>
      <c r="I556" s="224" t="e">
        <f aca="false">SUM(I539:I554)</f>
        <v>#VALUE!</v>
      </c>
      <c r="J556" s="224" t="e">
        <f aca="false">SUM(J539:J554)</f>
        <v>#VALUE!</v>
      </c>
    </row>
    <row collapsed="false" customFormat="false" customHeight="true" hidden="false" ht="11.4" outlineLevel="0" r="558">
      <c r="G558" s="55" t="s">
        <v>183</v>
      </c>
      <c r="H558" s="141"/>
      <c r="I558" s="56" t="n">
        <f aca="false">(J400*(J400+1)^2)/4</f>
        <v>0</v>
      </c>
    </row>
    <row collapsed="false" customFormat="false" customHeight="true" hidden="false" ht="11.4" outlineLevel="0" r="560">
      <c r="G560" s="55" t="s">
        <v>193</v>
      </c>
      <c r="H560" s="141"/>
      <c r="I560" s="229" t="e">
        <f aca="false">(H556-I558)/((I556-I558)^0.5*(J556-I558)^0.5)</f>
        <v>#VALUE!</v>
      </c>
    </row>
    <row collapsed="false" customFormat="false" customHeight="true" hidden="false" ht="11.4" outlineLevel="0" r="562">
      <c r="G562" s="55" t="s">
        <v>185</v>
      </c>
      <c r="H562" s="141"/>
      <c r="I562" s="230" t="e">
        <f aca="false">I560*SQRT(J400-1)</f>
        <v>#VALUE!</v>
      </c>
    </row>
    <row collapsed="false" customFormat="false" customHeight="true" hidden="false" ht="11.4" outlineLevel="0" r="568">
      <c r="C568" s="35" t="s">
        <v>22</v>
      </c>
      <c r="D568" s="0" t="s">
        <v>194</v>
      </c>
    </row>
    <row collapsed="false" customFormat="false" customHeight="true" hidden="false" ht="11.4" outlineLevel="0" r="570">
      <c r="D570" s="0" t="s">
        <v>24</v>
      </c>
    </row>
    <row collapsed="false" customFormat="false" customHeight="true" hidden="false" ht="11.4" outlineLevel="0" r="571">
      <c r="C571" s="0" t="s">
        <v>25</v>
      </c>
      <c r="E571" s="39" t="n">
        <v>0</v>
      </c>
      <c r="F571" s="39" t="n">
        <v>1</v>
      </c>
      <c r="G571" s="39" t="n">
        <v>2</v>
      </c>
      <c r="H571" s="39" t="n">
        <v>3</v>
      </c>
      <c r="I571" s="39" t="n">
        <v>4</v>
      </c>
      <c r="J571" s="40"/>
      <c r="K571" s="40" t="s">
        <v>30</v>
      </c>
    </row>
    <row collapsed="false" customFormat="false" customHeight="true" hidden="false" ht="11.4" outlineLevel="0" r="572">
      <c r="C572" s="46" t="n">
        <v>0</v>
      </c>
      <c r="D572" s="47" t="s">
        <v>32</v>
      </c>
      <c r="E572" s="231" t="e">
        <f aca="false">COUNTIF(kfreihe0,"PT")+COUNTIF(atreihe0,"PT")</f>
        <v>#NAME?</v>
      </c>
      <c r="F572" s="232" t="e">
        <f aca="false">COUNTIFS(kfreihe0,"P",kfreihe1,"T")+COUNTIFS(atreihe0,"P",atreihe1,"T")</f>
        <v>#NAME?</v>
      </c>
      <c r="G572" s="232" t="e">
        <f aca="false">COUNTIFS(kfreihe0,"P",kfreihe2,"T")+COUNTIFS(atreihe0,"P",atreihe2,"T")</f>
        <v>#NAME?</v>
      </c>
      <c r="H572" s="232" t="e">
        <f aca="false">COUNTIFS(kfreihe0,"P",kfreihe3,"T")+COUNTIFS(atreihe0,"P",atreihe3,"T")</f>
        <v>#NAME?</v>
      </c>
      <c r="I572" s="232" t="e">
        <f aca="false">COUNTIFS(kfreihe0,"P",kfreihe4,"T")+COUNTIFS(atreihe0,"P",atreihe4,"T")</f>
        <v>#NAME?</v>
      </c>
      <c r="J572" s="47"/>
      <c r="K572" s="47" t="e">
        <f aca="false">SUM(E572:I572)</f>
        <v>#NAME?</v>
      </c>
      <c r="M572" s="174"/>
    </row>
    <row collapsed="false" customFormat="false" customHeight="true" hidden="false" ht="11.4" outlineLevel="0" r="573">
      <c r="C573" s="50"/>
      <c r="D573" s="0" t="s">
        <v>34</v>
      </c>
      <c r="E573" s="51" t="e">
        <f aca="false">$K$572*E608/$K$608</f>
        <v>#NAME?</v>
      </c>
      <c r="F573" s="51" t="e">
        <f aca="false">$K$572*F608/$K$608</f>
        <v>#NAME?</v>
      </c>
      <c r="G573" s="51" t="e">
        <f aca="false">$K$572*G608/$K$608</f>
        <v>#NAME?</v>
      </c>
      <c r="H573" s="51" t="e">
        <f aca="false">$K$572*H608/$K$608</f>
        <v>#NAME?</v>
      </c>
      <c r="I573" s="51" t="e">
        <f aca="false">$K$572*I608/$K$608</f>
        <v>#NAME?</v>
      </c>
      <c r="K573" s="41"/>
      <c r="M573" s="174"/>
    </row>
    <row collapsed="false" customFormat="false" customHeight="true" hidden="false" ht="11.4" outlineLevel="0" r="574">
      <c r="C574" s="50"/>
      <c r="D574" s="0" t="s">
        <v>36</v>
      </c>
      <c r="E574" s="51" t="e">
        <f aca="false">D613</f>
        <v>#REF!</v>
      </c>
      <c r="F574" s="51" t="e">
        <f aca="false">D614</f>
        <v>#REF!</v>
      </c>
      <c r="G574" s="51" t="e">
        <f aca="false">D615</f>
        <v>#REF!</v>
      </c>
      <c r="H574" s="51" t="n">
        <f aca="false">D616</f>
        <v>0.75</v>
      </c>
      <c r="I574" s="51" t="e">
        <f aca="false">D617</f>
        <v>#REF!</v>
      </c>
      <c r="K574" s="41"/>
    </row>
    <row collapsed="false" customFormat="false" customHeight="true" hidden="false" ht="11.4" outlineLevel="0" r="575">
      <c r="C575" s="50"/>
      <c r="D575" s="0" t="s">
        <v>38</v>
      </c>
      <c r="E575" s="51" t="e">
        <f aca="false">E572*E574</f>
        <v>#NAME?</v>
      </c>
      <c r="F575" s="51" t="e">
        <f aca="false">F572*F574</f>
        <v>#NAME?</v>
      </c>
      <c r="G575" s="51" t="e">
        <f aca="false">G572*G574</f>
        <v>#NAME?</v>
      </c>
      <c r="H575" s="51" t="e">
        <f aca="false">H572*H574</f>
        <v>#NAME?</v>
      </c>
      <c r="I575" s="51" t="e">
        <f aca="false">I572*I574</f>
        <v>#NAME?</v>
      </c>
      <c r="K575" s="41" t="e">
        <f aca="false">SUM(E575:I575)</f>
        <v>#NAME?</v>
      </c>
    </row>
    <row collapsed="false" customFormat="false" customHeight="true" hidden="false" ht="11.4" outlineLevel="0" r="576">
      <c r="C576" s="50"/>
      <c r="D576" s="0" t="s">
        <v>40</v>
      </c>
      <c r="E576" s="51" t="e">
        <f aca="false">E574*E573</f>
        <v>#REF!</v>
      </c>
      <c r="F576" s="51" t="e">
        <f aca="false">F574*F573</f>
        <v>#REF!</v>
      </c>
      <c r="G576" s="51" t="e">
        <f aca="false">G574*G573</f>
        <v>#REF!</v>
      </c>
      <c r="H576" s="51" t="e">
        <f aca="false">H574*H573</f>
        <v>#NAME?</v>
      </c>
      <c r="I576" s="51" t="e">
        <f aca="false">I574*I573</f>
        <v>#REF!</v>
      </c>
      <c r="K576" s="41" t="e">
        <f aca="false">SUM(E576:I576)</f>
        <v>#REF!</v>
      </c>
    </row>
    <row collapsed="false" customFormat="false" customHeight="true" hidden="false" ht="11.4" outlineLevel="0" r="577">
      <c r="C577" s="50"/>
      <c r="D577" s="0" t="s">
        <v>42</v>
      </c>
      <c r="E577" s="51" t="e">
        <f aca="false">E574^2</f>
        <v>#REF!</v>
      </c>
      <c r="F577" s="51" t="e">
        <f aca="false">F574^2</f>
        <v>#REF!</v>
      </c>
      <c r="G577" s="51" t="e">
        <f aca="false">G574^2</f>
        <v>#REF!</v>
      </c>
      <c r="H577" s="51" t="n">
        <f aca="false">H574^2</f>
        <v>0.5625</v>
      </c>
      <c r="I577" s="51" t="e">
        <f aca="false">I574^2</f>
        <v>#REF!</v>
      </c>
      <c r="K577" s="41"/>
    </row>
    <row collapsed="false" customFormat="false" customHeight="true" hidden="false" ht="11.4" outlineLevel="0" r="578">
      <c r="C578" s="53"/>
      <c r="D578" s="0" t="s">
        <v>44</v>
      </c>
      <c r="E578" s="51" t="e">
        <f aca="false">E577*E573</f>
        <v>#REF!</v>
      </c>
      <c r="F578" s="51" t="e">
        <f aca="false">F577*F573</f>
        <v>#REF!</v>
      </c>
      <c r="G578" s="51" t="e">
        <f aca="false">G577*G573</f>
        <v>#REF!</v>
      </c>
      <c r="H578" s="51" t="e">
        <f aca="false">H577*H573</f>
        <v>#NAME?</v>
      </c>
      <c r="I578" s="51" t="e">
        <f aca="false">I577*I573</f>
        <v>#REF!</v>
      </c>
      <c r="K578" s="41" t="e">
        <f aca="false">SUM(E578:I578)</f>
        <v>#REF!</v>
      </c>
    </row>
    <row collapsed="false" customFormat="false" customHeight="true" hidden="false" ht="11.4" outlineLevel="0" r="579">
      <c r="C579" s="46" t="n">
        <v>1</v>
      </c>
      <c r="D579" s="47" t="s">
        <v>32</v>
      </c>
      <c r="E579" s="233" t="e">
        <f aca="false">COUNTIFS(kfreihe1,"P",kfreihe0,"T")+COUNTIFS(atreihe1,"P",atreihe0,"T")</f>
        <v>#NAME?</v>
      </c>
      <c r="F579" s="234" t="e">
        <f aca="false">COUNTIF(kfreihe1,"PT")+COUNTIF(atreihe1,"PT")</f>
        <v>#NAME?</v>
      </c>
      <c r="G579" s="233" t="e">
        <f aca="false">COUNTIFS(kfreihe1,"P",kfreihe2,"T")+COUNTIFS(atreihe1,"P",atreihe2,"T")</f>
        <v>#NAME?</v>
      </c>
      <c r="H579" s="233" t="e">
        <f aca="false">COUNTIFS(kfreihe1,"P",kfreihe3,"T")+COUNTIFS(atreihe1,"P",atreihe3,"T")</f>
        <v>#NAME?</v>
      </c>
      <c r="I579" s="233" t="e">
        <f aca="false">COUNTIFS(kfreihe1,"P",kfreihe4,"T")+COUNTIFS(atreihe1,"P",atreihe4,"T")</f>
        <v>#NAME?</v>
      </c>
      <c r="J579" s="55"/>
      <c r="K579" s="47" t="e">
        <f aca="false">SUM(E579:I579)</f>
        <v>#NAME?</v>
      </c>
    </row>
    <row collapsed="false" customFormat="false" customHeight="true" hidden="false" ht="11.4" outlineLevel="0" r="580">
      <c r="C580" s="50"/>
      <c r="D580" s="0" t="s">
        <v>34</v>
      </c>
      <c r="E580" s="51" t="e">
        <f aca="false">$K$579*E608/$K$608</f>
        <v>#NAME?</v>
      </c>
      <c r="F580" s="51" t="e">
        <f aca="false">$K$579*F608/$K$608</f>
        <v>#NAME?</v>
      </c>
      <c r="G580" s="51" t="e">
        <f aca="false">$K$579*G608/$K$608</f>
        <v>#NAME?</v>
      </c>
      <c r="H580" s="51" t="e">
        <f aca="false">$K$579*H608/$K$608</f>
        <v>#NAME?</v>
      </c>
      <c r="I580" s="51" t="e">
        <f aca="false">$K$579*I608/$K$608</f>
        <v>#NAME?</v>
      </c>
      <c r="K580" s="41"/>
    </row>
    <row collapsed="false" customFormat="false" customHeight="true" hidden="false" ht="11.4" outlineLevel="0" r="581">
      <c r="C581" s="50"/>
      <c r="D581" s="0" t="s">
        <v>36</v>
      </c>
      <c r="E581" s="0" t="n">
        <v>0.25</v>
      </c>
      <c r="F581" s="51" t="e">
        <f aca="false">D613</f>
        <v>#REF!</v>
      </c>
      <c r="G581" s="0" t="n">
        <v>0.25</v>
      </c>
      <c r="H581" s="51" t="e">
        <f aca="false">D615</f>
        <v>#REF!</v>
      </c>
      <c r="I581" s="51" t="n">
        <f aca="false">D616</f>
        <v>0.75</v>
      </c>
      <c r="K581" s="41"/>
    </row>
    <row collapsed="false" customFormat="false" customHeight="true" hidden="false" ht="11.4" outlineLevel="0" r="582">
      <c r="C582" s="50"/>
      <c r="D582" s="0" t="s">
        <v>38</v>
      </c>
      <c r="E582" s="51" t="e">
        <f aca="false">E579*E581</f>
        <v>#NAME?</v>
      </c>
      <c r="F582" s="51" t="e">
        <f aca="false">F579*F581</f>
        <v>#NAME?</v>
      </c>
      <c r="G582" s="51" t="e">
        <f aca="false">G579*G581</f>
        <v>#NAME?</v>
      </c>
      <c r="H582" s="51" t="e">
        <f aca="false">H579*H581</f>
        <v>#NAME?</v>
      </c>
      <c r="I582" s="51" t="e">
        <f aca="false">I579*I581</f>
        <v>#NAME?</v>
      </c>
      <c r="K582" s="41" t="e">
        <f aca="false">SUM(E582:I582)</f>
        <v>#NAME?</v>
      </c>
    </row>
    <row collapsed="false" customFormat="false" customHeight="true" hidden="false" ht="11.4" outlineLevel="0" r="583">
      <c r="C583" s="50"/>
      <c r="D583" s="0" t="s">
        <v>40</v>
      </c>
      <c r="E583" s="51" t="e">
        <f aca="false">E581*E580</f>
        <v>#NAME?</v>
      </c>
      <c r="F583" s="51" t="e">
        <f aca="false">F581*F580</f>
        <v>#REF!</v>
      </c>
      <c r="G583" s="51" t="e">
        <f aca="false">G581*G580</f>
        <v>#NAME?</v>
      </c>
      <c r="H583" s="51" t="e">
        <f aca="false">H581*H580</f>
        <v>#REF!</v>
      </c>
      <c r="I583" s="51" t="e">
        <f aca="false">I581*I580</f>
        <v>#NAME?</v>
      </c>
      <c r="K583" s="41" t="e">
        <f aca="false">SUM(E583:I583)</f>
        <v>#NAME?</v>
      </c>
    </row>
    <row collapsed="false" customFormat="false" customHeight="true" hidden="false" ht="11.4" outlineLevel="0" r="584">
      <c r="C584" s="50"/>
      <c r="D584" s="0" t="s">
        <v>42</v>
      </c>
      <c r="E584" s="51" t="n">
        <f aca="false">E581^2</f>
        <v>0.0625</v>
      </c>
      <c r="F584" s="51" t="e">
        <f aca="false">F581^2</f>
        <v>#REF!</v>
      </c>
      <c r="G584" s="51" t="n">
        <f aca="false">G581^2</f>
        <v>0.0625</v>
      </c>
      <c r="H584" s="51" t="e">
        <f aca="false">H581^2</f>
        <v>#REF!</v>
      </c>
      <c r="I584" s="51" t="n">
        <f aca="false">I581^2</f>
        <v>0.5625</v>
      </c>
      <c r="K584" s="41"/>
    </row>
    <row collapsed="false" customFormat="false" customHeight="true" hidden="false" ht="11.4" outlineLevel="0" r="585">
      <c r="C585" s="53"/>
      <c r="D585" s="0" t="s">
        <v>44</v>
      </c>
      <c r="E585" s="51" t="e">
        <f aca="false">E584*E580</f>
        <v>#NAME?</v>
      </c>
      <c r="F585" s="51" t="e">
        <f aca="false">F584*F580</f>
        <v>#REF!</v>
      </c>
      <c r="G585" s="51" t="e">
        <f aca="false">G584*G580</f>
        <v>#NAME?</v>
      </c>
      <c r="H585" s="51" t="e">
        <f aca="false">H584*H580</f>
        <v>#REF!</v>
      </c>
      <c r="I585" s="51" t="e">
        <f aca="false">I584*I580</f>
        <v>#NAME?</v>
      </c>
      <c r="K585" s="41" t="e">
        <f aca="false">SUM(E585:I585)</f>
        <v>#NAME?</v>
      </c>
    </row>
    <row collapsed="false" customFormat="false" customHeight="true" hidden="false" ht="11.4" outlineLevel="0" r="586">
      <c r="C586" s="46" t="n">
        <v>2</v>
      </c>
      <c r="D586" s="47" t="s">
        <v>32</v>
      </c>
      <c r="E586" s="233" t="e">
        <f aca="false">COUNTIFS(kfreihe2,"P",kfreihe0,"T")+COUNTIFS(atreihe2,"P",atreihe0,"T")</f>
        <v>#NAME?</v>
      </c>
      <c r="F586" s="233" t="e">
        <f aca="false">COUNTIFS(kfreihe2,"P",kfreihe1,"T")+COUNTIFS(atreihe2,"P",atreihe1,"T")</f>
        <v>#NAME?</v>
      </c>
      <c r="G586" s="234" t="e">
        <f aca="false">COUNTIF(kfreihe2,"PT")+COUNTIF(atreihe2,"PT")</f>
        <v>#NAME?</v>
      </c>
      <c r="H586" s="233" t="e">
        <f aca="false">COUNTIFS(kfreihe2,"P",kfreihe3,"T")+COUNTIFS(atreihe2,"P",atreihe3,"T")</f>
        <v>#NAME?</v>
      </c>
      <c r="I586" s="233" t="e">
        <f aca="false">COUNTIFS(kfreihe2,"P",kfreihe4,"T")+COUNTIFS(atreihe2,"P",atreihe4,"T")</f>
        <v>#NAME?</v>
      </c>
      <c r="J586" s="55"/>
      <c r="K586" s="47" t="e">
        <f aca="false">SUM(E586:I586)</f>
        <v>#NAME?</v>
      </c>
    </row>
    <row collapsed="false" customFormat="false" customHeight="true" hidden="false" ht="11.4" outlineLevel="0" r="587">
      <c r="C587" s="50"/>
      <c r="D587" s="0" t="s">
        <v>34</v>
      </c>
      <c r="E587" s="51" t="e">
        <f aca="false">$K$586*E608/$K$608</f>
        <v>#NAME?</v>
      </c>
      <c r="F587" s="51" t="e">
        <f aca="false">$K$586*F608/$K$608</f>
        <v>#NAME?</v>
      </c>
      <c r="G587" s="51" t="e">
        <f aca="false">$K$586*G608/$K$608</f>
        <v>#NAME?</v>
      </c>
      <c r="H587" s="51" t="e">
        <f aca="false">$K$586*H608/$K$608</f>
        <v>#NAME?</v>
      </c>
      <c r="I587" s="51" t="e">
        <f aca="false">$K$586*I608/$K$608</f>
        <v>#NAME?</v>
      </c>
      <c r="K587" s="41"/>
    </row>
    <row collapsed="false" customFormat="false" customHeight="true" hidden="false" ht="11.4" outlineLevel="0" r="588">
      <c r="C588" s="50"/>
      <c r="D588" s="0" t="s">
        <v>36</v>
      </c>
      <c r="E588" s="51" t="e">
        <f aca="false">D615</f>
        <v>#REF!</v>
      </c>
      <c r="F588" s="0" t="n">
        <v>0.25</v>
      </c>
      <c r="G588" s="51" t="e">
        <f aca="false">D613</f>
        <v>#REF!</v>
      </c>
      <c r="H588" s="0" t="n">
        <v>0.25</v>
      </c>
      <c r="I588" s="51" t="e">
        <f aca="false">D615</f>
        <v>#REF!</v>
      </c>
      <c r="K588" s="41"/>
    </row>
    <row collapsed="false" customFormat="false" customHeight="true" hidden="false" ht="11.4" outlineLevel="0" r="589">
      <c r="C589" s="50"/>
      <c r="D589" s="0" t="s">
        <v>38</v>
      </c>
      <c r="E589" s="51" t="e">
        <f aca="false">E586*E588</f>
        <v>#NAME?</v>
      </c>
      <c r="F589" s="51" t="e">
        <f aca="false">F586*F588</f>
        <v>#NAME?</v>
      </c>
      <c r="G589" s="51" t="e">
        <f aca="false">G586*G588</f>
        <v>#NAME?</v>
      </c>
      <c r="H589" s="51" t="e">
        <f aca="false">H586*H588</f>
        <v>#NAME?</v>
      </c>
      <c r="I589" s="51" t="e">
        <f aca="false">I586*I588</f>
        <v>#NAME?</v>
      </c>
      <c r="K589" s="41" t="e">
        <f aca="false">SUM(E589:I589)</f>
        <v>#NAME?</v>
      </c>
    </row>
    <row collapsed="false" customFormat="false" customHeight="true" hidden="false" ht="11.4" outlineLevel="0" r="590">
      <c r="C590" s="50"/>
      <c r="D590" s="0" t="s">
        <v>40</v>
      </c>
      <c r="E590" s="51" t="e">
        <f aca="false">E588*E587</f>
        <v>#REF!</v>
      </c>
      <c r="F590" s="51" t="e">
        <f aca="false">F588*F587</f>
        <v>#NAME?</v>
      </c>
      <c r="G590" s="51" t="e">
        <f aca="false">G588*G587</f>
        <v>#REF!</v>
      </c>
      <c r="H590" s="51" t="e">
        <f aca="false">H588*H587</f>
        <v>#NAME?</v>
      </c>
      <c r="I590" s="51" t="e">
        <f aca="false">I588*I587</f>
        <v>#REF!</v>
      </c>
      <c r="K590" s="41" t="e">
        <f aca="false">SUM(E590:I590)</f>
        <v>#REF!</v>
      </c>
    </row>
    <row collapsed="false" customFormat="false" customHeight="true" hidden="false" ht="11.4" outlineLevel="0" r="591">
      <c r="C591" s="50"/>
      <c r="D591" s="0" t="s">
        <v>42</v>
      </c>
      <c r="E591" s="51" t="e">
        <f aca="false">E588^2</f>
        <v>#REF!</v>
      </c>
      <c r="F591" s="51" t="n">
        <f aca="false">F588^2</f>
        <v>0.0625</v>
      </c>
      <c r="G591" s="51" t="e">
        <f aca="false">G588^2</f>
        <v>#REF!</v>
      </c>
      <c r="H591" s="51" t="n">
        <f aca="false">H588^2</f>
        <v>0.0625</v>
      </c>
      <c r="I591" s="51" t="e">
        <f aca="false">I588^2</f>
        <v>#REF!</v>
      </c>
      <c r="K591" s="41"/>
    </row>
    <row collapsed="false" customFormat="false" customHeight="true" hidden="false" ht="11.4" outlineLevel="0" r="592">
      <c r="C592" s="53"/>
      <c r="D592" s="0" t="s">
        <v>44</v>
      </c>
      <c r="E592" s="51" t="e">
        <f aca="false">E591*E587</f>
        <v>#REF!</v>
      </c>
      <c r="F592" s="51" t="e">
        <f aca="false">F591*F587</f>
        <v>#NAME?</v>
      </c>
      <c r="G592" s="51" t="e">
        <f aca="false">G591*G587</f>
        <v>#REF!</v>
      </c>
      <c r="H592" s="51" t="e">
        <f aca="false">H591*H587</f>
        <v>#NAME?</v>
      </c>
      <c r="I592" s="51" t="e">
        <f aca="false">I591*I587</f>
        <v>#REF!</v>
      </c>
      <c r="K592" s="41" t="e">
        <f aca="false">SUM(E592:I592)</f>
        <v>#REF!</v>
      </c>
    </row>
    <row collapsed="false" customFormat="false" customHeight="true" hidden="false" ht="11.4" outlineLevel="0" r="593">
      <c r="C593" s="46" t="n">
        <v>3</v>
      </c>
      <c r="D593" s="47" t="s">
        <v>32</v>
      </c>
      <c r="E593" s="233" t="e">
        <f aca="false">COUNTIFS(kfreihe3,"P",kfreihe0,"T")+COUNTIFS(atreihe3,"P",atreihe0,"T")</f>
        <v>#NAME?</v>
      </c>
      <c r="F593" s="233" t="e">
        <f aca="false">COUNTIFS(kfreihe3,"P",kfreihe1,"T")+COUNTIFS(atreihe3,"P",atreihe1,"T")</f>
        <v>#NAME?</v>
      </c>
      <c r="G593" s="233" t="e">
        <f aca="false">COUNTIFS(kfreihe3,"P",kfreihe2,"T")+COUNTIFS(atreihe3,"P",atreihe2,"T")</f>
        <v>#NAME?</v>
      </c>
      <c r="H593" s="234" t="e">
        <f aca="false">COUNTIF(kfreihe3,"PT")+COUNTIF(atreihe3,"PT")</f>
        <v>#NAME?</v>
      </c>
      <c r="I593" s="233" t="e">
        <f aca="false">COUNTIFS(kfreihe3,"P",kfreihe4,"T")+COUNTIFS(atreihe3,"P",atreihe4,"T")</f>
        <v>#NAME?</v>
      </c>
      <c r="J593" s="55"/>
      <c r="K593" s="47" t="e">
        <f aca="false">SUM(E593:I593)</f>
        <v>#NAME?</v>
      </c>
    </row>
    <row collapsed="false" customFormat="false" customHeight="true" hidden="false" ht="11.4" outlineLevel="0" r="594">
      <c r="C594" s="50"/>
      <c r="D594" s="0" t="s">
        <v>34</v>
      </c>
      <c r="E594" s="51" t="e">
        <f aca="false">$K$593*E608/$K$608</f>
        <v>#NAME?</v>
      </c>
      <c r="F594" s="51" t="e">
        <f aca="false">$K$593*F608/$K$608</f>
        <v>#NAME?</v>
      </c>
      <c r="G594" s="51" t="e">
        <f aca="false">$K$593*G608/$K$608</f>
        <v>#NAME?</v>
      </c>
      <c r="H594" s="51" t="e">
        <f aca="false">$K$593*H608/$K$608</f>
        <v>#NAME?</v>
      </c>
      <c r="I594" s="51" t="e">
        <f aca="false">$K$593*I608/$K$608</f>
        <v>#NAME?</v>
      </c>
      <c r="K594" s="41"/>
    </row>
    <row collapsed="false" customFormat="false" customHeight="true" hidden="false" ht="11.4" outlineLevel="0" r="595">
      <c r="C595" s="50"/>
      <c r="D595" s="0" t="s">
        <v>36</v>
      </c>
      <c r="E595" s="51" t="n">
        <f aca="false">D616</f>
        <v>0.75</v>
      </c>
      <c r="F595" s="51" t="e">
        <f aca="false">D615</f>
        <v>#REF!</v>
      </c>
      <c r="G595" s="0" t="n">
        <v>0.25</v>
      </c>
      <c r="H595" s="51" t="e">
        <f aca="false">D613</f>
        <v>#REF!</v>
      </c>
      <c r="I595" s="0" t="n">
        <v>0.25</v>
      </c>
      <c r="K595" s="41"/>
    </row>
    <row collapsed="false" customFormat="false" customHeight="true" hidden="false" ht="11.4" outlineLevel="0" r="596">
      <c r="C596" s="50"/>
      <c r="D596" s="0" t="s">
        <v>38</v>
      </c>
      <c r="E596" s="51" t="e">
        <f aca="false">E593*E595</f>
        <v>#NAME?</v>
      </c>
      <c r="F596" s="51" t="e">
        <f aca="false">F593*F595</f>
        <v>#NAME?</v>
      </c>
      <c r="G596" s="51" t="e">
        <f aca="false">G593*G595</f>
        <v>#NAME?</v>
      </c>
      <c r="H596" s="51" t="e">
        <f aca="false">H593*H595</f>
        <v>#NAME?</v>
      </c>
      <c r="I596" s="51" t="e">
        <f aca="false">I593*I595</f>
        <v>#NAME?</v>
      </c>
      <c r="K596" s="41" t="e">
        <f aca="false">SUM(E596:I596)</f>
        <v>#NAME?</v>
      </c>
    </row>
    <row collapsed="false" customFormat="false" customHeight="true" hidden="false" ht="11.4" outlineLevel="0" r="597">
      <c r="C597" s="50"/>
      <c r="D597" s="0" t="s">
        <v>40</v>
      </c>
      <c r="E597" s="51" t="e">
        <f aca="false">E595*E594</f>
        <v>#NAME?</v>
      </c>
      <c r="F597" s="51" t="e">
        <f aca="false">F595*F594</f>
        <v>#REF!</v>
      </c>
      <c r="G597" s="51" t="e">
        <f aca="false">G595*G594</f>
        <v>#NAME?</v>
      </c>
      <c r="H597" s="51" t="e">
        <f aca="false">H595*H594</f>
        <v>#REF!</v>
      </c>
      <c r="I597" s="51" t="e">
        <f aca="false">I595*I594</f>
        <v>#NAME?</v>
      </c>
      <c r="K597" s="41" t="e">
        <f aca="false">SUM(E597:I597)</f>
        <v>#NAME?</v>
      </c>
    </row>
    <row collapsed="false" customFormat="false" customHeight="true" hidden="false" ht="11.4" outlineLevel="0" r="598">
      <c r="C598" s="50"/>
      <c r="D598" s="0" t="s">
        <v>42</v>
      </c>
      <c r="E598" s="51" t="n">
        <f aca="false">E595^2</f>
        <v>0.5625</v>
      </c>
      <c r="F598" s="51" t="e">
        <f aca="false">F595^2</f>
        <v>#REF!</v>
      </c>
      <c r="G598" s="51" t="n">
        <f aca="false">G595^2</f>
        <v>0.0625</v>
      </c>
      <c r="H598" s="51" t="e">
        <f aca="false">H595^2</f>
        <v>#REF!</v>
      </c>
      <c r="I598" s="51" t="n">
        <f aca="false">I595^2</f>
        <v>0.0625</v>
      </c>
      <c r="K598" s="41"/>
    </row>
    <row collapsed="false" customFormat="false" customHeight="true" hidden="false" ht="11.4" outlineLevel="0" r="599">
      <c r="C599" s="53"/>
      <c r="D599" s="0" t="s">
        <v>44</v>
      </c>
      <c r="E599" s="51" t="e">
        <f aca="false">E598*E594</f>
        <v>#NAME?</v>
      </c>
      <c r="F599" s="51" t="e">
        <f aca="false">F598*F594</f>
        <v>#REF!</v>
      </c>
      <c r="G599" s="51" t="e">
        <f aca="false">G598*G594</f>
        <v>#NAME?</v>
      </c>
      <c r="H599" s="51" t="e">
        <f aca="false">H598*H594</f>
        <v>#REF!</v>
      </c>
      <c r="I599" s="51" t="e">
        <f aca="false">I598*I594</f>
        <v>#NAME?</v>
      </c>
      <c r="K599" s="41" t="e">
        <f aca="false">SUM(E599:I599)</f>
        <v>#NAME?</v>
      </c>
    </row>
    <row collapsed="false" customFormat="false" customHeight="true" hidden="false" ht="11.4" outlineLevel="0" r="600">
      <c r="C600" s="46" t="n">
        <v>4</v>
      </c>
      <c r="D600" s="47" t="s">
        <v>32</v>
      </c>
      <c r="E600" s="233" t="e">
        <f aca="false">COUNTIFS(kfreihe4,"P",kfreihe0,"T")+COUNTIFS(atreihe4,"P",atreihe0,"T")</f>
        <v>#NAME?</v>
      </c>
      <c r="F600" s="233" t="e">
        <f aca="false">COUNTIFS(kfreihe4,"P",kfreihe1,"T")+COUNTIFS(atreihe4,"P",atreihe1,"T")</f>
        <v>#NAME?</v>
      </c>
      <c r="G600" s="233" t="e">
        <f aca="false">COUNTIFS(kfreihe4,"P",kfreihe2,"T")+COUNTIFS(atreihe4,"P",atreihe2,"T")</f>
        <v>#NAME?</v>
      </c>
      <c r="H600" s="233" t="e">
        <f aca="false">COUNTIFS(kfreihe4,"P",kfreihe3,"T")+COUNTIFS(atreihe4,"P",atreihe3,"T")</f>
        <v>#NAME?</v>
      </c>
      <c r="I600" s="234" t="e">
        <f aca="false">COUNTIF(kfreihe4,"PT")+COUNTIF(atreihe4,"PT")</f>
        <v>#NAME?</v>
      </c>
      <c r="J600" s="55"/>
      <c r="K600" s="47" t="e">
        <f aca="false">SUM(E600:I600)</f>
        <v>#NAME?</v>
      </c>
    </row>
    <row collapsed="false" customFormat="false" customHeight="true" hidden="false" ht="11.4" outlineLevel="0" r="601">
      <c r="C601" s="69"/>
      <c r="D601" s="0" t="s">
        <v>34</v>
      </c>
      <c r="E601" s="51" t="e">
        <f aca="false">$K$600*E608/$K$608</f>
        <v>#NAME?</v>
      </c>
      <c r="F601" s="51" t="e">
        <f aca="false">$K$600*F608/$K$608</f>
        <v>#NAME?</v>
      </c>
      <c r="G601" s="51" t="e">
        <f aca="false">$K$600*G608/$K$608</f>
        <v>#NAME?</v>
      </c>
      <c r="H601" s="51" t="e">
        <f aca="false">$K$600*H608/$K$608</f>
        <v>#NAME?</v>
      </c>
      <c r="I601" s="51" t="e">
        <f aca="false">$K$600*I608/$K$608</f>
        <v>#NAME?</v>
      </c>
      <c r="K601" s="41"/>
    </row>
    <row collapsed="false" customFormat="false" customHeight="true" hidden="false" ht="11.4" outlineLevel="0" r="602">
      <c r="C602" s="69"/>
      <c r="D602" s="0" t="s">
        <v>36</v>
      </c>
      <c r="E602" s="51" t="e">
        <f aca="false">D617</f>
        <v>#REF!</v>
      </c>
      <c r="F602" s="51" t="n">
        <f aca="false">D616</f>
        <v>0.75</v>
      </c>
      <c r="G602" s="51" t="e">
        <f aca="false">D615</f>
        <v>#REF!</v>
      </c>
      <c r="H602" s="0" t="n">
        <v>0.25</v>
      </c>
      <c r="I602" s="51" t="e">
        <f aca="false">D613</f>
        <v>#REF!</v>
      </c>
      <c r="K602" s="41"/>
    </row>
    <row collapsed="false" customFormat="false" customHeight="true" hidden="false" ht="11.4" outlineLevel="0" r="603">
      <c r="C603" s="69"/>
      <c r="D603" s="0" t="s">
        <v>38</v>
      </c>
      <c r="E603" s="51" t="e">
        <f aca="false">E600*E602</f>
        <v>#NAME?</v>
      </c>
      <c r="F603" s="51" t="e">
        <f aca="false">F600*F602</f>
        <v>#NAME?</v>
      </c>
      <c r="G603" s="51" t="e">
        <f aca="false">G600*G602</f>
        <v>#NAME?</v>
      </c>
      <c r="H603" s="51" t="e">
        <f aca="false">H600*H602</f>
        <v>#NAME?</v>
      </c>
      <c r="I603" s="51" t="e">
        <f aca="false">I600*I602</f>
        <v>#NAME?</v>
      </c>
      <c r="K603" s="41" t="e">
        <f aca="false">SUM(E603:I603)</f>
        <v>#NAME?</v>
      </c>
    </row>
    <row collapsed="false" customFormat="false" customHeight="true" hidden="false" ht="11.4" outlineLevel="0" r="604">
      <c r="C604" s="69"/>
      <c r="D604" s="0" t="s">
        <v>40</v>
      </c>
      <c r="E604" s="51" t="e">
        <f aca="false">E602*E601</f>
        <v>#REF!</v>
      </c>
      <c r="F604" s="51" t="e">
        <f aca="false">F602*F601</f>
        <v>#NAME?</v>
      </c>
      <c r="G604" s="51" t="e">
        <f aca="false">G602*G601</f>
        <v>#REF!</v>
      </c>
      <c r="H604" s="51" t="e">
        <f aca="false">H602*H601</f>
        <v>#NAME?</v>
      </c>
      <c r="I604" s="51" t="e">
        <f aca="false">I602*I601</f>
        <v>#REF!</v>
      </c>
      <c r="K604" s="41" t="e">
        <f aca="false">SUM(E604:I604)</f>
        <v>#REF!</v>
      </c>
    </row>
    <row collapsed="false" customFormat="false" customHeight="true" hidden="false" ht="11.4" outlineLevel="0" r="605">
      <c r="C605" s="69"/>
      <c r="D605" s="0" t="s">
        <v>42</v>
      </c>
      <c r="E605" s="51" t="e">
        <f aca="false">E602^2</f>
        <v>#REF!</v>
      </c>
      <c r="F605" s="51" t="n">
        <f aca="false">F602^2</f>
        <v>0.5625</v>
      </c>
      <c r="G605" s="51" t="e">
        <f aca="false">G602^2</f>
        <v>#REF!</v>
      </c>
      <c r="H605" s="51" t="n">
        <f aca="false">H602^2</f>
        <v>0.0625</v>
      </c>
      <c r="I605" s="51" t="e">
        <f aca="false">I602^2</f>
        <v>#REF!</v>
      </c>
      <c r="K605" s="41"/>
    </row>
    <row collapsed="false" customFormat="false" customHeight="true" hidden="false" ht="11.4" outlineLevel="0" r="606">
      <c r="C606" s="79"/>
      <c r="D606" s="0" t="s">
        <v>44</v>
      </c>
      <c r="E606" s="51" t="e">
        <f aca="false">E605*E601</f>
        <v>#REF!</v>
      </c>
      <c r="F606" s="51" t="e">
        <f aca="false">F605*F601</f>
        <v>#NAME?</v>
      </c>
      <c r="G606" s="51" t="e">
        <f aca="false">G605*G601</f>
        <v>#REF!</v>
      </c>
      <c r="H606" s="51" t="e">
        <f aca="false">H605*H601</f>
        <v>#NAME?</v>
      </c>
      <c r="I606" s="51" t="e">
        <f aca="false">I605*I601</f>
        <v>#REF!</v>
      </c>
      <c r="K606" s="41" t="e">
        <f aca="false">SUM(E606:I606)</f>
        <v>#REF!</v>
      </c>
    </row>
    <row collapsed="false" customFormat="false" customHeight="true" hidden="false" ht="11.4" outlineLevel="0" r="607">
      <c r="K607" s="41"/>
    </row>
    <row collapsed="false" customFormat="false" customHeight="true" hidden="false" ht="11.4" outlineLevel="0" r="608">
      <c r="C608" s="47" t="s">
        <v>59</v>
      </c>
      <c r="D608" s="47"/>
      <c r="E608" s="47" t="e">
        <f aca="false">SUM(E600,E593,E586,E579,E572)</f>
        <v>#NAME?</v>
      </c>
      <c r="F608" s="47" t="e">
        <f aca="false">SUM(F600,F593,F586,F579,F572)</f>
        <v>#NAME?</v>
      </c>
      <c r="G608" s="47" t="e">
        <f aca="false">SUM(G600,G593,G586,G579,G572)</f>
        <v>#NAME?</v>
      </c>
      <c r="H608" s="47" t="e">
        <f aca="false">SUM(H600,H593,H586,H579,H572)</f>
        <v>#NAME?</v>
      </c>
      <c r="I608" s="47" t="e">
        <f aca="false">SUM(I600,I593,I586,I579,I572)</f>
        <v>#NAME?</v>
      </c>
      <c r="J608" s="226" t="s">
        <v>195</v>
      </c>
      <c r="K608" s="47" t="e">
        <f aca="false">SUM(E608:I608)</f>
        <v>#NAME?</v>
      </c>
    </row>
    <row collapsed="false" customFormat="false" customHeight="true" hidden="false" ht="11.4" outlineLevel="0" r="610">
      <c r="C610" s="235" t="s">
        <v>31</v>
      </c>
    </row>
    <row collapsed="false" customFormat="false" customHeight="true" hidden="false" ht="11.4" outlineLevel="0" r="611">
      <c r="C611" s="47" t="s">
        <v>33</v>
      </c>
      <c r="D611" s="56"/>
    </row>
    <row collapsed="false" customFormat="false" customHeight="true" hidden="false" ht="11.4" outlineLevel="0" r="612">
      <c r="C612" s="69" t="s">
        <v>35</v>
      </c>
    </row>
    <row collapsed="false" customFormat="false" customHeight="true" hidden="false" ht="11.4" outlineLevel="0" r="613">
      <c r="C613" s="69" t="s">
        <v>196</v>
      </c>
      <c r="D613" s="52" t="e">
        <f aca="false">#REF!!C14</f>
        <v>#REF!</v>
      </c>
    </row>
    <row collapsed="false" customFormat="false" customHeight="true" hidden="false" ht="11.4" outlineLevel="0" r="614">
      <c r="C614" s="69" t="s">
        <v>197</v>
      </c>
      <c r="D614" s="52" t="e">
        <f aca="false">#REF!!C15</f>
        <v>#REF!</v>
      </c>
    </row>
    <row collapsed="false" customFormat="false" customHeight="true" hidden="false" ht="11.4" outlineLevel="0" r="615">
      <c r="C615" s="69" t="s">
        <v>198</v>
      </c>
      <c r="D615" s="52" t="e">
        <f aca="false">#REF!!C16</f>
        <v>#REF!</v>
      </c>
    </row>
    <row collapsed="false" customFormat="false" customHeight="true" hidden="false" ht="11.4" outlineLevel="0" r="616">
      <c r="C616" s="69" t="s">
        <v>199</v>
      </c>
      <c r="D616" s="0" t="n">
        <v>0.75</v>
      </c>
    </row>
    <row collapsed="false" customFormat="false" customHeight="true" hidden="false" ht="11.4" outlineLevel="0" r="617">
      <c r="C617" s="79" t="s">
        <v>200</v>
      </c>
      <c r="D617" s="52" t="e">
        <f aca="false">#REF!!C18</f>
        <v>#REF!</v>
      </c>
    </row>
    <row collapsed="false" customFormat="false" customHeight="true" hidden="false" ht="11.4" outlineLevel="0" r="619">
      <c r="C619" s="47" t="s">
        <v>46</v>
      </c>
      <c r="D619" s="47" t="e">
        <f aca="false">SUM(K603,K596,K589,K582,K575)</f>
        <v>#NAME?</v>
      </c>
    </row>
    <row collapsed="false" customFormat="false" customHeight="true" hidden="false" ht="11.4" outlineLevel="0" r="620">
      <c r="C620" s="47" t="s">
        <v>47</v>
      </c>
      <c r="D620" s="47" t="e">
        <f aca="false">SUM(K604,K597,K590,K583,K576)</f>
        <v>#REF!</v>
      </c>
    </row>
    <row collapsed="false" customFormat="false" customHeight="true" hidden="false" ht="11.4" outlineLevel="0" r="621">
      <c r="C621" s="47" t="s">
        <v>49</v>
      </c>
      <c r="D621" s="47" t="e">
        <f aca="false">1-(D619/D620)</f>
        <v>#NAME?</v>
      </c>
      <c r="E621" s="0" t="s">
        <v>50</v>
      </c>
    </row>
    <row collapsed="false" customFormat="false" customHeight="true" hidden="false" ht="11.4" outlineLevel="0" r="623">
      <c r="C623" s="55" t="s">
        <v>51</v>
      </c>
      <c r="D623" s="56" t="e">
        <f aca="false">SUM(K606,K599,K592,K585,K578)</f>
        <v>#REF!</v>
      </c>
    </row>
    <row collapsed="false" customFormat="false" customHeight="true" hidden="false" ht="11.4" outlineLevel="0" r="625">
      <c r="C625" s="55" t="s">
        <v>52</v>
      </c>
      <c r="D625" s="56" t="e">
        <f aca="false">SQRT(((K608*D623-D620^2)/(K608*D620^2)))</f>
        <v>#NAME?</v>
      </c>
    </row>
    <row collapsed="false" customFormat="false" customHeight="true" hidden="false" ht="11.4" outlineLevel="0" r="627">
      <c r="C627" s="55" t="s">
        <v>201</v>
      </c>
      <c r="D627" s="56" t="e">
        <f aca="false">D621/D625</f>
        <v>#NAME?</v>
      </c>
    </row>
    <row collapsed="false" customFormat="false" customHeight="true" hidden="false" ht="11.4" outlineLevel="0" r="628">
      <c r="D628" s="60"/>
      <c r="E628" s="64"/>
      <c r="F628" s="61"/>
      <c r="G628" s="61"/>
      <c r="H628" s="61"/>
    </row>
    <row collapsed="false" customFormat="false" customHeight="true" hidden="false" ht="11.4" outlineLevel="0" r="629">
      <c r="C629" s="52" t="e">
        <f aca="false">NORMSDIST(D621)/D625</f>
        <v>#NAME?</v>
      </c>
      <c r="D629" s="60"/>
      <c r="E629" s="64"/>
    </row>
    <row collapsed="false" customFormat="false" customHeight="true" hidden="false" ht="11.4" outlineLevel="0" r="630">
      <c r="D630" s="60"/>
      <c r="E630" s="64"/>
    </row>
    <row collapsed="false" customFormat="false" customHeight="true" hidden="false" ht="11.4" outlineLevel="0" r="631">
      <c r="C631" s="59" t="s">
        <v>202</v>
      </c>
      <c r="D631" s="60"/>
      <c r="E631" s="64"/>
    </row>
    <row collapsed="false" customFormat="false" customHeight="true" hidden="false" ht="11.4" outlineLevel="0" r="633">
      <c r="C633" s="59" t="s">
        <v>203</v>
      </c>
    </row>
    <row collapsed="false" customFormat="false" customHeight="true" hidden="false" ht="11.4" outlineLevel="0" r="634">
      <c r="D634" s="0" t="s">
        <v>204</v>
      </c>
      <c r="I634" s="59" t="s">
        <v>131</v>
      </c>
    </row>
    <row collapsed="false" customFormat="false" customHeight="true" hidden="false" ht="11.4" outlineLevel="0" r="635">
      <c r="C635" s="41" t="s">
        <v>205</v>
      </c>
      <c r="D635" s="236" t="n">
        <v>0</v>
      </c>
      <c r="E635" s="236" t="n">
        <v>1</v>
      </c>
      <c r="F635" s="236" t="n">
        <v>2</v>
      </c>
      <c r="G635" s="236" t="n">
        <v>3</v>
      </c>
      <c r="H635" s="236" t="n">
        <v>4</v>
      </c>
    </row>
    <row collapsed="false" customFormat="false" customHeight="true" hidden="false" ht="11.4" outlineLevel="0" r="636">
      <c r="C636" s="237" t="n">
        <v>0</v>
      </c>
      <c r="D636" s="238" t="e">
        <f aca="false">COUNTIF(:,"PT")</f>
        <v>#VALUE!</v>
      </c>
      <c r="E636" s="214" t="e">
        <f aca="false">COUNTIFS(kfreihe0,"P",kfreihe1,"T")</f>
        <v>#NAME?</v>
      </c>
      <c r="F636" s="214" t="e">
        <f aca="false">COUNTIFS($#REF!$#REF!:$#REF!$#REF!;"P";$#REF!$#REF!:$#REF!$#REF!;"T")))))))))))))))))))))))))))))))))))</f>
        <v>#NAME?</v>
      </c>
      <c r="G636" s="214" t="e">
        <f aca="false">COUNTIFS($#REF!$#REF!:$#REF!$#REF!;"P";$#REF!$#REF!:$#REF!$#REF!;"T")))))))))))))))))))))))))))))))))))</f>
        <v>#NAME?</v>
      </c>
      <c r="H636" s="239" t="e">
        <f aca="false">COUNTIFS($#REF!$#REF!:$#REF!$#REF!;"P";$#REF!$#REF!:$#REF!$#REF!;"T")))))))))))))))))))))))))))))))))))</f>
        <v>#NAME?</v>
      </c>
      <c r="I636" s="52" t="e">
        <f aca="false">SUM(D636:H636)</f>
        <v>#VALUE!</v>
      </c>
    </row>
    <row collapsed="false" customFormat="false" customHeight="true" hidden="false" ht="11.4" outlineLevel="0" r="637">
      <c r="C637" s="237" t="n">
        <v>1</v>
      </c>
      <c r="D637" s="240" t="e">
        <f aca="false">COUNTIFS($#REF!$#REF!:$#REF!$#REF!;"P";$#REF!$#REF!:$#REF!$#REF!;"T")))))))))))))))))))))))))))))))))))</f>
        <v>#NAME?</v>
      </c>
      <c r="E637" s="41" t="e">
        <f aca="false">COUNTIF(:,"PT")</f>
        <v>#VALUE!</v>
      </c>
      <c r="F637" s="41" t="e">
        <f aca="false">COUNTIFS(kfreihe1,"P",kfreihe2,"T")</f>
        <v>#NAME?</v>
      </c>
      <c r="G637" s="41" t="e">
        <f aca="false">COUNTIFS(kfreihe3,"T",kfreihe1,"P")</f>
        <v>#NAME?</v>
      </c>
      <c r="H637" s="241" t="e">
        <f aca="false">COUNTIFS(kfreihe4,"T",kfreihe1,"P")</f>
        <v>#NAME?</v>
      </c>
      <c r="I637" s="52" t="e">
        <f aca="false">SUM(D637:H637)</f>
        <v>#NAME?</v>
      </c>
    </row>
    <row collapsed="false" customFormat="false" customHeight="true" hidden="false" ht="11.4" outlineLevel="0" r="638">
      <c r="C638" s="237" t="n">
        <v>2</v>
      </c>
      <c r="D638" s="240" t="e">
        <f aca="false">COUNTIFS($#REF!$#REF!:$#REF!$#REF!;"P";$#REF!$#REF!:$#REF!$#REF!;"T")))))))))))))))))))))))))))))))))))</f>
        <v>#NAME?</v>
      </c>
      <c r="E638" s="41" t="e">
        <f aca="false">COUNTIFS($#REF!$#REF!:$#REF!$#REF!;"P";$#REF!$#REF!:$#REF!$#REF!;"T")))))))))))))))))))))))))))))))))))</f>
        <v>#NAME?</v>
      </c>
      <c r="F638" s="41" t="e">
        <f aca="false">COUNTIF(:,"PT")</f>
        <v>#VALUE!</v>
      </c>
      <c r="G638" s="41" t="e">
        <f aca="false">COUNTIFS(kfreihe3,"T",kfreihe2,"P")</f>
        <v>#NAME?</v>
      </c>
      <c r="H638" s="241" t="e">
        <f aca="false">COUNTIFS(kfreihe4,"T",kfreihe2,"P")</f>
        <v>#NAME?</v>
      </c>
      <c r="I638" s="52" t="e">
        <f aca="false">SUM(D638:H638)</f>
        <v>#NAME?</v>
      </c>
    </row>
    <row collapsed="false" customFormat="false" customHeight="true" hidden="false" ht="11.4" outlineLevel="0" r="639">
      <c r="C639" s="237" t="n">
        <v>3</v>
      </c>
      <c r="D639" s="240" t="e">
        <f aca="false">COUNTIFS($#REF!$#REF!:$#REF!$#REF!;"P";$#REF!$#REF!:$#REF!$#REF!;"T")))))))))))))))))))))))))))))))))))</f>
        <v>#NAME?</v>
      </c>
      <c r="E639" s="41" t="e">
        <f aca="false">COUNTIFS($#REF!$#REF!:$#REF!$#REF!;"P";$#REF!$#REF!:$#REF!$#REF!;"T")))))))))))))))))))))))))))))))))))</f>
        <v>#NAME?</v>
      </c>
      <c r="F639" s="41" t="e">
        <f aca="false">COUNTIFS(kfreihe2,"T",kfreihe3,"P")</f>
        <v>#NAME?</v>
      </c>
      <c r="G639" s="41" t="e">
        <f aca="false">COUNTIF(:,"PT")</f>
        <v>#VALUE!</v>
      </c>
      <c r="H639" s="241" t="e">
        <f aca="false">COUNTIFS(kfreihe4,"T",kfreihe3,"P")</f>
        <v>#NAME?</v>
      </c>
      <c r="I639" s="52" t="e">
        <f aca="false">SUM(D639:H639)</f>
        <v>#NAME?</v>
      </c>
    </row>
    <row collapsed="false" customFormat="false" customHeight="true" hidden="false" ht="11.4" outlineLevel="0" r="640">
      <c r="C640" s="237" t="n">
        <v>4</v>
      </c>
      <c r="D640" s="242" t="e">
        <f aca="false">COUNTIFS($#REF!$#REF!:$#REF!$#REF!;"P";$#REF!$#REF!:$#REF!$#REF!;"T")))))))))))))))))))))))))))))))))))</f>
        <v>#NAME?</v>
      </c>
      <c r="E640" s="243" t="e">
        <f aca="false">COUNTIFS($#REF!$#REF!:$#REF!$#REF!;"P";$#REF!$#REF!:$#REF!$#REF!;"T")))))))))))))))))))))))))))))))))))</f>
        <v>#NAME?</v>
      </c>
      <c r="F640" s="243" t="e">
        <f aca="false">COUNTIFS(kfreihe2,"T",kfreihe4,"P")</f>
        <v>#NAME?</v>
      </c>
      <c r="G640" s="243" t="e">
        <f aca="false">COUNTIFS(kfreihe3,"T",kfreihe4,"P")</f>
        <v>#NAME?</v>
      </c>
      <c r="H640" s="244" t="e">
        <f aca="false">COUNTIF(:,"PT")</f>
        <v>#VALUE!</v>
      </c>
      <c r="I640" s="52" t="e">
        <f aca="false">SUM(D640:H640)</f>
        <v>#NAME?</v>
      </c>
    </row>
    <row collapsed="false" customFormat="false" customHeight="true" hidden="false" ht="11.4" outlineLevel="0" r="641">
      <c r="C641" s="59" t="s">
        <v>131</v>
      </c>
      <c r="D641" s="52" t="e">
        <f aca="false">SUM(D636:D640)</f>
        <v>#VALUE!</v>
      </c>
      <c r="E641" s="52" t="e">
        <f aca="false">SUM(E636:E640)</f>
        <v>#NAME?</v>
      </c>
      <c r="F641" s="52" t="e">
        <f aca="false">SUM(F636:F640)</f>
        <v>#NAME?</v>
      </c>
      <c r="G641" s="52" t="e">
        <f aca="false">SUM(G636:G640)</f>
        <v>#NAME?</v>
      </c>
      <c r="H641" s="52" t="e">
        <f aca="false">SUM(H636:H640)</f>
        <v>#NAME?</v>
      </c>
      <c r="I641" s="52" t="e">
        <f aca="false">SUM(D641:H641)</f>
        <v>#VALUE!</v>
      </c>
      <c r="J641" s="245" t="s">
        <v>206</v>
      </c>
    </row>
    <row collapsed="false" customFormat="false" customHeight="true" hidden="false" ht="11.4" outlineLevel="0" r="644">
      <c r="C644" s="246" t="s">
        <v>134</v>
      </c>
      <c r="D644" s="214" t="e">
        <f aca="false">D636</f>
        <v>#VALUE!</v>
      </c>
      <c r="E644" s="214" t="e">
        <f aca="false">E637</f>
        <v>#VALUE!</v>
      </c>
      <c r="F644" s="214" t="e">
        <f aca="false">F638</f>
        <v>#VALUE!</v>
      </c>
      <c r="G644" s="214" t="e">
        <f aca="false">G639</f>
        <v>#VALUE!</v>
      </c>
      <c r="H644" s="239" t="e">
        <f aca="false">H640</f>
        <v>#VALUE!</v>
      </c>
      <c r="I644" s="52" t="e">
        <f aca="false">SUM(D644:H644)</f>
        <v>#VALUE!</v>
      </c>
      <c r="J644" s="245" t="s">
        <v>207</v>
      </c>
    </row>
    <row collapsed="false" customFormat="false" customHeight="true" hidden="false" ht="11.4" outlineLevel="0" r="645">
      <c r="C645" s="247" t="s">
        <v>208</v>
      </c>
      <c r="D645" s="248" t="e">
        <f aca="false">D641*$I636/$I$641</f>
        <v>#VALUE!</v>
      </c>
      <c r="E645" s="248" t="e">
        <f aca="false">E641*$I637/$I$641</f>
        <v>#NAME?</v>
      </c>
      <c r="F645" s="248" t="e">
        <f aca="false">F641*$I638/$I$641</f>
        <v>#NAME?</v>
      </c>
      <c r="G645" s="248" t="e">
        <f aca="false">G641*$I639/$I$641</f>
        <v>#NAME?</v>
      </c>
      <c r="H645" s="248" t="e">
        <f aca="false">H641*$I640/$I$641</f>
        <v>#NAME?</v>
      </c>
      <c r="I645" s="51" t="e">
        <f aca="false">SUM(D645:H645)</f>
        <v>#VALUE!</v>
      </c>
      <c r="J645" s="245" t="s">
        <v>209</v>
      </c>
    </row>
    <row collapsed="false" customFormat="false" customHeight="true" hidden="false" ht="11.4" outlineLevel="0" r="647">
      <c r="C647" s="59" t="s">
        <v>93</v>
      </c>
      <c r="D647" s="52" t="e">
        <f aca="false">(I644-I645)/(I641-I645)</f>
        <v>#VALUE!</v>
      </c>
      <c r="I647" s="59" t="e">
        <f aca="false">I644/I641</f>
        <v>#VALUE!</v>
      </c>
      <c r="J647" s="249" t="s">
        <v>210</v>
      </c>
    </row>
    <row collapsed="false" customFormat="false" customHeight="true" hidden="false" ht="11.4" outlineLevel="0" r="648">
      <c r="I648" s="52" t="e">
        <f aca="false">(D641*I636+E641*I637+F641*I638+G641*I639+H641*I640)/I641^2</f>
        <v>#VALUE!</v>
      </c>
      <c r="J648" s="249" t="s">
        <v>211</v>
      </c>
    </row>
    <row collapsed="false" customFormat="false" customHeight="true" hidden="false" ht="11.4" outlineLevel="0" r="651">
      <c r="C651" s="59" t="s">
        <v>93</v>
      </c>
      <c r="D651" s="52" t="e">
        <f aca="false">(I647-I648)/(1-I648)</f>
        <v>#VALUE!</v>
      </c>
      <c r="I651" s="59" t="s">
        <v>212</v>
      </c>
    </row>
    <row collapsed="false" customFormat="false" customHeight="true" hidden="false" ht="11.4" outlineLevel="0" r="652">
      <c r="I652" s="52" t="e">
        <f aca="false">(D641*I636*(D641+I636)+E641*I637*(E641+I637)+F641*I638*(F641+I638)+G641*I639*(G641+I639)+H641*I640*(H641+I640))/100</f>
        <v>#VALUE!</v>
      </c>
    </row>
    <row collapsed="false" customFormat="false" customHeight="true" hidden="false" ht="11.4" outlineLevel="0" r="653">
      <c r="I653" s="59"/>
    </row>
    <row collapsed="false" customFormat="false" customHeight="true" hidden="false" ht="11.4" outlineLevel="0" r="654">
      <c r="C654" s="59" t="s">
        <v>213</v>
      </c>
      <c r="D654" s="59" t="s">
        <v>214</v>
      </c>
      <c r="F654" s="52" t="e">
        <f aca="false">I648+I648^2-I652</f>
        <v>#VALUE!</v>
      </c>
      <c r="G654" s="59" t="e">
        <f aca="false">(I641*(1-I648)^2)</f>
        <v>#VALUE!</v>
      </c>
      <c r="H654" s="249" t="s">
        <v>215</v>
      </c>
    </row>
    <row collapsed="false" customFormat="false" customHeight="true" hidden="false" ht="11.4" outlineLevel="0" r="658">
      <c r="D658" s="0" t="s">
        <v>216</v>
      </c>
    </row>
    <row collapsed="false" customFormat="false" customHeight="true" hidden="false" ht="11.4" outlineLevel="0" r="660">
      <c r="C660" s="59" t="s">
        <v>72</v>
      </c>
    </row>
    <row collapsed="false" customFormat="false" customHeight="true" hidden="false" ht="11.4" outlineLevel="0" r="661">
      <c r="D661" s="59" t="s">
        <v>204</v>
      </c>
    </row>
    <row collapsed="false" customFormat="false" customHeight="true" hidden="false" ht="11.4" outlineLevel="0" r="662">
      <c r="C662" s="41" t="s">
        <v>205</v>
      </c>
      <c r="D662" s="236" t="n">
        <v>0</v>
      </c>
      <c r="E662" s="236" t="n">
        <v>1</v>
      </c>
      <c r="F662" s="236" t="n">
        <v>2</v>
      </c>
      <c r="G662" s="236" t="n">
        <v>3</v>
      </c>
      <c r="H662" s="236" t="n">
        <v>4</v>
      </c>
    </row>
    <row collapsed="false" customFormat="false" customHeight="true" hidden="false" ht="11.4" outlineLevel="0" r="663">
      <c r="C663" s="237" t="n">
        <v>0</v>
      </c>
      <c r="D663" s="238" t="e">
        <f aca="false">COUNTIF(atreihe0,"PT")</f>
        <v>#NAME?</v>
      </c>
      <c r="E663" s="238" t="e">
        <f aca="false">COUNTIFS(atreihe1,"T",atreihe0,"P")</f>
        <v>#NAME?</v>
      </c>
      <c r="F663" s="238" t="e">
        <f aca="false">COUNTIFS(atreihe2,"T",atreihe0,"P")</f>
        <v>#NAME?</v>
      </c>
      <c r="G663" s="238" t="e">
        <f aca="false">COUNTIFS(atreihe3,"T",atreihe0,"P")</f>
        <v>#NAME?</v>
      </c>
      <c r="H663" s="235" t="e">
        <f aca="false">COUNTIFS(atreihe4,"T",atreihe0,"P")</f>
        <v>#NAME?</v>
      </c>
      <c r="I663" s="52" t="e">
        <f aca="false">SUM(D663:H663)</f>
        <v>#NAME?</v>
      </c>
    </row>
    <row collapsed="false" customFormat="false" customHeight="true" hidden="false" ht="11.4" outlineLevel="0" r="664">
      <c r="C664" s="237" t="n">
        <v>1</v>
      </c>
      <c r="D664" s="240" t="e">
        <f aca="false">COUNTIFS(atreihe0,"T",atreihe1,"P")</f>
        <v>#NAME?</v>
      </c>
      <c r="E664" s="240" t="e">
        <f aca="false">COUNTIFS(atreihe1,"PT",atreihe1,"PT")</f>
        <v>#NAME?</v>
      </c>
      <c r="F664" s="240" t="e">
        <f aca="false">COUNTIFS(atreihe2,"T",atreihe1,"P")</f>
        <v>#NAME?</v>
      </c>
      <c r="G664" s="240" t="e">
        <f aca="false">COUNTIFS(atreihe3,"T",atreihe1,"P")</f>
        <v>#NAME?</v>
      </c>
      <c r="H664" s="69" t="e">
        <f aca="false">COUNTIFS(atreihe4,"T",atreihe1,"P")</f>
        <v>#NAME?</v>
      </c>
      <c r="I664" s="52" t="e">
        <f aca="false">SUM(D664:H664)</f>
        <v>#NAME?</v>
      </c>
    </row>
    <row collapsed="false" customFormat="false" customHeight="true" hidden="false" ht="11.4" outlineLevel="0" r="665">
      <c r="C665" s="237" t="n">
        <v>2</v>
      </c>
      <c r="D665" s="240" t="e">
        <f aca="false">COUNTIFS(atreihe0,"T",atreihe2,"P")</f>
        <v>#NAME?</v>
      </c>
      <c r="E665" s="240" t="e">
        <f aca="false">COUNTIFS(atreihe1,"T",atreihe2,"P")</f>
        <v>#NAME?</v>
      </c>
      <c r="F665" s="240" t="e">
        <f aca="false">COUNTIFS(atreihe2,"PT",atreihe2,"PT")</f>
        <v>#NAME?</v>
      </c>
      <c r="G665" s="240" t="e">
        <f aca="false">COUNTIFS(atreihe3,"T",atreihe2,"P")</f>
        <v>#NAME?</v>
      </c>
      <c r="H665" s="69" t="e">
        <f aca="false">COUNTIFS(atreihe4,"T",atreihe2,"P")</f>
        <v>#NAME?</v>
      </c>
      <c r="I665" s="52" t="e">
        <f aca="false">SUM(D665:H665)</f>
        <v>#NAME?</v>
      </c>
    </row>
    <row collapsed="false" customFormat="false" customHeight="true" hidden="false" ht="11.4" outlineLevel="0" r="666">
      <c r="C666" s="237" t="n">
        <v>3</v>
      </c>
      <c r="D666" s="240" t="e">
        <f aca="false">COUNTIFS(atreihe0,"T",atreihe3,"P")</f>
        <v>#NAME?</v>
      </c>
      <c r="E666" s="240" t="e">
        <f aca="false">COUNTIFS(atreihe1,"T",atreihe3,"P")</f>
        <v>#NAME?</v>
      </c>
      <c r="F666" s="240" t="e">
        <f aca="false">COUNTIFS(atreihe2,"T",atreihe3,"P")</f>
        <v>#NAME?</v>
      </c>
      <c r="G666" s="240" t="e">
        <f aca="false">COUNTIFS(atreihe3,"PT",atreihe3,"PT")</f>
        <v>#NAME?</v>
      </c>
      <c r="H666" s="69" t="e">
        <f aca="false">COUNTIFS(atreihe4,"T",atreihe3,"P")</f>
        <v>#NAME?</v>
      </c>
      <c r="I666" s="52" t="e">
        <f aca="false">SUM(D666:H666)</f>
        <v>#NAME?</v>
      </c>
    </row>
    <row collapsed="false" customFormat="false" customHeight="true" hidden="false" ht="11.4" outlineLevel="0" r="667">
      <c r="C667" s="237" t="n">
        <v>4</v>
      </c>
      <c r="D667" s="242" t="e">
        <f aca="false">COUNTIFS(atreihe0,"T",atreihe4,"P")</f>
        <v>#NAME?</v>
      </c>
      <c r="E667" s="242" t="e">
        <f aca="false">COUNTIFS(atreihe1,"T",atreihe4,"P")</f>
        <v>#NAME?</v>
      </c>
      <c r="F667" s="242" t="e">
        <f aca="false">COUNTIFS(atreihe2,"T",atreihe4,"P")</f>
        <v>#NAME?</v>
      </c>
      <c r="G667" s="242" t="e">
        <f aca="false">COUNTIFS(atreihe3,"T",atreihe4,"P")</f>
        <v>#NAME?</v>
      </c>
      <c r="H667" s="79" t="e">
        <f aca="false">COUNTIFS(atreihe4,"PT",atreihe4,"PT")</f>
        <v>#NAME?</v>
      </c>
      <c r="I667" s="52" t="e">
        <f aca="false">SUM(D667:H667)</f>
        <v>#NAME?</v>
      </c>
    </row>
    <row collapsed="false" customFormat="false" customHeight="true" hidden="false" ht="11.4" outlineLevel="0" r="668">
      <c r="C668" s="59" t="s">
        <v>131</v>
      </c>
      <c r="D668" s="52" t="e">
        <f aca="false">SUM(D663:D667)</f>
        <v>#NAME?</v>
      </c>
      <c r="E668" s="52" t="e">
        <f aca="false">SUM(E663:E667)</f>
        <v>#NAME?</v>
      </c>
      <c r="F668" s="52" t="e">
        <f aca="false">SUM(F663:F667)</f>
        <v>#NAME?</v>
      </c>
      <c r="G668" s="52" t="e">
        <f aca="false">SUM(G663:G667)</f>
        <v>#NAME?</v>
      </c>
      <c r="H668" s="52" t="e">
        <f aca="false">SUM(H663:H667)</f>
        <v>#NAME?</v>
      </c>
      <c r="I668" s="52" t="e">
        <f aca="false">SUM(I663:I667)</f>
        <v>#NAME?</v>
      </c>
      <c r="J668" s="245" t="s">
        <v>206</v>
      </c>
    </row>
    <row collapsed="false" customFormat="false" customHeight="true" hidden="false" ht="11.4" outlineLevel="0" r="671">
      <c r="C671" s="246" t="s">
        <v>134</v>
      </c>
      <c r="D671" s="214" t="e">
        <f aca="false">D663</f>
        <v>#NAME?</v>
      </c>
      <c r="E671" s="214" t="e">
        <f aca="false">E664</f>
        <v>#NAME?</v>
      </c>
      <c r="F671" s="214" t="e">
        <f aca="false">F665</f>
        <v>#NAME?</v>
      </c>
      <c r="G671" s="214" t="e">
        <f aca="false">G666</f>
        <v>#NAME?</v>
      </c>
      <c r="H671" s="239" t="e">
        <f aca="false">H667</f>
        <v>#NAME?</v>
      </c>
      <c r="I671" s="52" t="e">
        <f aca="false">SUM(D671:H671)</f>
        <v>#NAME?</v>
      </c>
      <c r="J671" s="245" t="s">
        <v>217</v>
      </c>
    </row>
    <row collapsed="false" customFormat="false" customHeight="true" hidden="false" ht="11.4" outlineLevel="0" r="672">
      <c r="C672" s="247" t="s">
        <v>208</v>
      </c>
      <c r="D672" s="248" t="e">
        <f aca="false">D668*$I663/$I$668</f>
        <v>#NAME?</v>
      </c>
      <c r="E672" s="248" t="e">
        <f aca="false">E668*$I664/$I$668</f>
        <v>#NAME?</v>
      </c>
      <c r="F672" s="248" t="e">
        <f aca="false">F668*$I665/$I$668</f>
        <v>#NAME?</v>
      </c>
      <c r="G672" s="248" t="e">
        <f aca="false">G668*$I666/$I$668</f>
        <v>#NAME?</v>
      </c>
      <c r="H672" s="248" t="e">
        <f aca="false">H668*$I667/$I$668</f>
        <v>#NAME?</v>
      </c>
      <c r="I672" s="51" t="e">
        <f aca="false">SUM(D672:H672)</f>
        <v>#NAME?</v>
      </c>
      <c r="J672" s="245" t="s">
        <v>209</v>
      </c>
    </row>
    <row collapsed="false" customFormat="false" customHeight="true" hidden="false" ht="11.4" outlineLevel="0" r="674">
      <c r="C674" s="59" t="s">
        <v>93</v>
      </c>
      <c r="D674" s="52" t="e">
        <f aca="false">(I671-I672)/(I668-I672)</f>
        <v>#NAME?</v>
      </c>
      <c r="I674" s="59" t="s">
        <v>218</v>
      </c>
    </row>
    <row collapsed="false" customFormat="false" customHeight="true" hidden="false" ht="11.4" outlineLevel="0" r="681">
      <c r="C681" s="59" t="s">
        <v>194</v>
      </c>
    </row>
    <row collapsed="false" customFormat="false" customHeight="true" hidden="false" ht="11.4" outlineLevel="0" r="683">
      <c r="D683" s="59" t="s">
        <v>204</v>
      </c>
    </row>
    <row collapsed="false" customFormat="false" customHeight="true" hidden="false" ht="11.4" outlineLevel="0" r="684">
      <c r="C684" s="41" t="s">
        <v>205</v>
      </c>
      <c r="D684" s="236" t="n">
        <v>0</v>
      </c>
      <c r="E684" s="236" t="n">
        <v>1</v>
      </c>
      <c r="F684" s="236" t="n">
        <v>2</v>
      </c>
      <c r="G684" s="236" t="n">
        <v>3</v>
      </c>
      <c r="H684" s="236" t="n">
        <v>4</v>
      </c>
    </row>
    <row collapsed="false" customFormat="false" customHeight="true" hidden="false" ht="11.4" outlineLevel="0" r="685">
      <c r="C685" s="237" t="n">
        <v>0</v>
      </c>
      <c r="D685" s="238" t="e">
        <f aca="false">D663+D636</f>
        <v>#NAME?</v>
      </c>
      <c r="E685" s="238" t="e">
        <f aca="false">E663+E636</f>
        <v>#NAME?</v>
      </c>
      <c r="F685" s="238" t="e">
        <f aca="false">F663+F636</f>
        <v>#NAME?</v>
      </c>
      <c r="G685" s="238" t="e">
        <f aca="false">G663+G636</f>
        <v>#NAME?</v>
      </c>
      <c r="H685" s="238" t="e">
        <f aca="false">H663+H636</f>
        <v>#NAME?</v>
      </c>
      <c r="I685" s="52" t="e">
        <f aca="false">SUM(D685:H685)</f>
        <v>#NAME?</v>
      </c>
    </row>
    <row collapsed="false" customFormat="false" customHeight="true" hidden="false" ht="11.4" outlineLevel="0" r="686">
      <c r="C686" s="237" t="n">
        <v>1</v>
      </c>
      <c r="D686" s="238" t="e">
        <f aca="false">D664+D637</f>
        <v>#NAME?</v>
      </c>
      <c r="E686" s="238" t="e">
        <f aca="false">E664+E637</f>
        <v>#NAME?</v>
      </c>
      <c r="F686" s="238" t="e">
        <f aca="false">F664+F637</f>
        <v>#NAME?</v>
      </c>
      <c r="G686" s="238" t="e">
        <f aca="false">G664+G637</f>
        <v>#NAME?</v>
      </c>
      <c r="H686" s="238" t="e">
        <f aca="false">H664+H637</f>
        <v>#NAME?</v>
      </c>
      <c r="I686" s="52" t="e">
        <f aca="false">SUM(D686:H686)</f>
        <v>#NAME?</v>
      </c>
    </row>
    <row collapsed="false" customFormat="false" customHeight="true" hidden="false" ht="11.4" outlineLevel="0" r="687">
      <c r="C687" s="237" t="n">
        <v>2</v>
      </c>
      <c r="D687" s="238" t="e">
        <f aca="false">D665+D638</f>
        <v>#NAME?</v>
      </c>
      <c r="E687" s="238" t="e">
        <f aca="false">E665+E638</f>
        <v>#NAME?</v>
      </c>
      <c r="F687" s="238" t="e">
        <f aca="false">F665+F638</f>
        <v>#NAME?</v>
      </c>
      <c r="G687" s="238" t="e">
        <f aca="false">G665+G638</f>
        <v>#NAME?</v>
      </c>
      <c r="H687" s="238" t="e">
        <f aca="false">H665+H638</f>
        <v>#NAME?</v>
      </c>
      <c r="I687" s="52" t="e">
        <f aca="false">SUM(D687:H687)</f>
        <v>#NAME?</v>
      </c>
    </row>
    <row collapsed="false" customFormat="false" customHeight="true" hidden="false" ht="11.4" outlineLevel="0" r="688">
      <c r="C688" s="237" t="n">
        <v>3</v>
      </c>
      <c r="D688" s="238" t="e">
        <f aca="false">D666+D639</f>
        <v>#NAME?</v>
      </c>
      <c r="E688" s="238" t="e">
        <f aca="false">E666+E639</f>
        <v>#NAME?</v>
      </c>
      <c r="F688" s="238" t="e">
        <f aca="false">F666+F639</f>
        <v>#NAME?</v>
      </c>
      <c r="G688" s="238" t="e">
        <f aca="false">G666+G639</f>
        <v>#NAME?</v>
      </c>
      <c r="H688" s="238" t="e">
        <f aca="false">H666+H639</f>
        <v>#NAME?</v>
      </c>
      <c r="I688" s="52" t="e">
        <f aca="false">SUM(D688:H688)</f>
        <v>#NAME?</v>
      </c>
    </row>
    <row collapsed="false" customFormat="false" customHeight="true" hidden="false" ht="11.4" outlineLevel="0" r="689">
      <c r="C689" s="237" t="n">
        <v>4</v>
      </c>
      <c r="D689" s="238" t="e">
        <f aca="false">D667+D640</f>
        <v>#NAME?</v>
      </c>
      <c r="E689" s="238" t="e">
        <f aca="false">E667+E640</f>
        <v>#NAME?</v>
      </c>
      <c r="F689" s="238" t="e">
        <f aca="false">F667+F640</f>
        <v>#NAME?</v>
      </c>
      <c r="G689" s="238" t="e">
        <f aca="false">G667+G640</f>
        <v>#NAME?</v>
      </c>
      <c r="H689" s="238" t="e">
        <f aca="false">H667+H640</f>
        <v>#NAME?</v>
      </c>
      <c r="I689" s="52" t="e">
        <f aca="false">SUM(D689:H689)</f>
        <v>#NAME?</v>
      </c>
    </row>
    <row collapsed="false" customFormat="false" customHeight="true" hidden="false" ht="11.4" outlineLevel="0" r="690">
      <c r="C690" s="59" t="s">
        <v>131</v>
      </c>
      <c r="D690" s="52" t="e">
        <f aca="false">SUM(D685:D689)</f>
        <v>#NAME?</v>
      </c>
      <c r="E690" s="52" t="e">
        <f aca="false">SUM(E685:E689)</f>
        <v>#NAME?</v>
      </c>
      <c r="F690" s="52" t="e">
        <f aca="false">SUM(F685:F689)</f>
        <v>#NAME?</v>
      </c>
      <c r="G690" s="52" t="e">
        <f aca="false">SUM(G685:G689)</f>
        <v>#NAME?</v>
      </c>
      <c r="H690" s="52" t="e">
        <f aca="false">SUM(H685:H689)</f>
        <v>#NAME?</v>
      </c>
      <c r="I690" s="52" t="e">
        <f aca="false">SUM(I685:I689)</f>
        <v>#NAME?</v>
      </c>
      <c r="J690" s="245" t="s">
        <v>206</v>
      </c>
    </row>
    <row collapsed="false" customFormat="false" customHeight="true" hidden="false" ht="11.4" outlineLevel="0" r="693">
      <c r="C693" s="246" t="s">
        <v>134</v>
      </c>
      <c r="D693" s="214" t="e">
        <f aca="false">D685</f>
        <v>#NAME?</v>
      </c>
      <c r="E693" s="214" t="e">
        <f aca="false">E686</f>
        <v>#NAME?</v>
      </c>
      <c r="F693" s="214" t="e">
        <f aca="false">F687</f>
        <v>#NAME?</v>
      </c>
      <c r="G693" s="214" t="e">
        <f aca="false">G688</f>
        <v>#NAME?</v>
      </c>
      <c r="H693" s="239" t="e">
        <f aca="false">H689</f>
        <v>#NAME?</v>
      </c>
      <c r="I693" s="52" t="e">
        <f aca="false">SUM(D693:H693)</f>
        <v>#NAME?</v>
      </c>
      <c r="J693" s="245" t="s">
        <v>217</v>
      </c>
    </row>
    <row collapsed="false" customFormat="false" customHeight="true" hidden="false" ht="11.4" outlineLevel="0" r="694">
      <c r="C694" s="247" t="s">
        <v>208</v>
      </c>
      <c r="D694" s="248" t="e">
        <f aca="false">D690*$I685/$I$690</f>
        <v>#NAME?</v>
      </c>
      <c r="E694" s="248" t="e">
        <f aca="false">E690*$I686/$I$690</f>
        <v>#NAME?</v>
      </c>
      <c r="F694" s="248" t="e">
        <f aca="false">F690*$I687/$I$690</f>
        <v>#NAME?</v>
      </c>
      <c r="G694" s="248" t="e">
        <f aca="false">G690*$I688/$I$690</f>
        <v>#NAME?</v>
      </c>
      <c r="H694" s="248" t="e">
        <f aca="false">H690*$I689/$I$690</f>
        <v>#NAME?</v>
      </c>
      <c r="I694" s="51" t="e">
        <f aca="false">SUM(D694:H694)</f>
        <v>#NAME?</v>
      </c>
      <c r="J694" s="245" t="s">
        <v>209</v>
      </c>
    </row>
    <row collapsed="false" customFormat="false" customHeight="true" hidden="false" ht="11.4" outlineLevel="0" r="696">
      <c r="C696" s="59" t="s">
        <v>93</v>
      </c>
      <c r="D696" s="52" t="e">
        <f aca="false">(I693-I694)/(I690-I694)</f>
        <v>#NAME?</v>
      </c>
      <c r="I696" s="59" t="s">
        <v>218</v>
      </c>
    </row>
    <row collapsed="false" customFormat="false" customHeight="true" hidden="false" ht="11.4" outlineLevel="0" r="702">
      <c r="C702" s="95" t="s">
        <v>219</v>
      </c>
    </row>
    <row collapsed="false" customFormat="false" customHeight="true" hidden="false" ht="11.4" outlineLevel="0" r="703">
      <c r="J703" s="61"/>
    </row>
    <row collapsed="false" customFormat="false" customHeight="true" hidden="false" ht="11.4" outlineLevel="0" r="704">
      <c r="B704" s="7" t="n">
        <f aca="false">$B$460</f>
        <v>0</v>
      </c>
      <c r="C704" s="7" t="n">
        <f aca="false">$B$460</f>
        <v>0</v>
      </c>
      <c r="D704" s="7" t="s">
        <v>220</v>
      </c>
      <c r="E704" s="7" t="s">
        <v>221</v>
      </c>
      <c r="F704" s="250" t="s">
        <v>222</v>
      </c>
      <c r="G704" s="250" t="s">
        <v>222</v>
      </c>
      <c r="H704" s="251" t="s">
        <v>223</v>
      </c>
      <c r="I704" s="251" t="s">
        <v>224</v>
      </c>
      <c r="J704" s="2"/>
    </row>
    <row collapsed="false" customFormat="false" customHeight="true" hidden="false" ht="11.4" outlineLevel="0" r="705">
      <c r="B705" s="7" t="n">
        <f aca="false">$B$461</f>
        <v>0</v>
      </c>
      <c r="C705" s="92" t="n">
        <f aca="false">$C$461</f>
        <v>0</v>
      </c>
      <c r="D705" s="92" t="e">
        <f aca="false">$D$461</f>
        <v>#VALUE!</v>
      </c>
      <c r="E705" s="92" t="e">
        <f aca="false">$E$461</f>
        <v>#VALUE!</v>
      </c>
      <c r="F705" s="92" t="e">
        <f aca="false">$F$461</f>
        <v>#VALUE!</v>
      </c>
      <c r="G705" s="92" t="e">
        <f aca="false">$G$461</f>
        <v>#VALUE!</v>
      </c>
      <c r="H705" s="252" t="e">
        <f aca="false">IF(E705="","",COUNTIF(E705:$E$771,"&gt;"&amp;E705))</f>
        <v>#VALUE!</v>
      </c>
      <c r="I705" s="92" t="e">
        <f aca="false">IF(E705="","",COUNTIF(E705:$E$771,"&lt;"&amp;E705))</f>
        <v>#VALUE!</v>
      </c>
      <c r="J705" s="61"/>
    </row>
    <row collapsed="false" customFormat="false" customHeight="true" hidden="false" ht="11.4" outlineLevel="0" r="706">
      <c r="B706" s="7" t="n">
        <f aca="false">$B$482</f>
        <v>0</v>
      </c>
      <c r="C706" s="7" t="n">
        <f aca="false">$C$482</f>
        <v>0</v>
      </c>
      <c r="D706" s="92" t="e">
        <f aca="false">$D$482</f>
        <v>#VALUE!</v>
      </c>
      <c r="E706" s="92" t="e">
        <f aca="false">$E$482</f>
        <v>#VALUE!</v>
      </c>
      <c r="F706" s="92" t="e">
        <f aca="false">$F$482</f>
        <v>#VALUE!</v>
      </c>
      <c r="G706" s="92" t="e">
        <f aca="false">$G$482</f>
        <v>#VALUE!</v>
      </c>
      <c r="H706" s="252" t="e">
        <f aca="false">IF(G706="","",COUNTIF(G706:$G$771,"&gt;"&amp;G706))</f>
        <v>#VALUE!</v>
      </c>
      <c r="I706" s="92" t="e">
        <f aca="false">IF(G706="","",COUNTIF(G706:$G$771,"&lt;"&amp;G706))</f>
        <v>#VALUE!</v>
      </c>
      <c r="J706" s="61"/>
    </row>
    <row collapsed="false" customFormat="false" customHeight="true" hidden="false" ht="11.4" outlineLevel="0" r="707">
      <c r="B707" s="7" t="n">
        <f aca="false">$B$483</f>
        <v>0</v>
      </c>
      <c r="C707" s="7" t="n">
        <f aca="false">$C$483</f>
        <v>0</v>
      </c>
      <c r="D707" s="92" t="e">
        <f aca="false">$D$483</f>
        <v>#VALUE!</v>
      </c>
      <c r="E707" s="92" t="e">
        <f aca="false">$E$483</f>
        <v>#VALUE!</v>
      </c>
      <c r="F707" s="92" t="e">
        <f aca="false">$F$483</f>
        <v>#VALUE!</v>
      </c>
      <c r="G707" s="92" t="e">
        <f aca="false">$G$483</f>
        <v>#VALUE!</v>
      </c>
      <c r="H707" s="252" t="e">
        <f aca="false">IF(G707="","",COUNTIF(G707:$G$771,"&gt;"&amp;G707))</f>
        <v>#VALUE!</v>
      </c>
      <c r="I707" s="92" t="e">
        <f aca="false">IF(G707="","",COUNTIF(G707:$G$771,"&lt;"&amp;G707))</f>
        <v>#VALUE!</v>
      </c>
      <c r="J707" s="61"/>
    </row>
    <row collapsed="false" customFormat="false" customHeight="true" hidden="false" ht="11.4" outlineLevel="0" r="708">
      <c r="B708" s="7" t="n">
        <f aca="false">$B$485</f>
        <v>0</v>
      </c>
      <c r="C708" s="7" t="n">
        <f aca="false">$C$485</f>
        <v>0</v>
      </c>
      <c r="D708" s="92" t="e">
        <f aca="false">$D$485</f>
        <v>#VALUE!</v>
      </c>
      <c r="E708" s="92" t="e">
        <f aca="false">$E$485</f>
        <v>#VALUE!</v>
      </c>
      <c r="F708" s="92" t="e">
        <f aca="false">$F$485</f>
        <v>#VALUE!</v>
      </c>
      <c r="G708" s="92" t="e">
        <f aca="false">$G$485</f>
        <v>#VALUE!</v>
      </c>
      <c r="H708" s="252" t="e">
        <f aca="false">IF(G708="","",COUNTIF(G708:$G$771,"&gt;"&amp;G708))</f>
        <v>#VALUE!</v>
      </c>
      <c r="I708" s="92" t="e">
        <f aca="false">IF(G708="","",COUNTIF(G708:$G$771,"&lt;"&amp;G708))</f>
        <v>#VALUE!</v>
      </c>
    </row>
    <row collapsed="false" customFormat="false" customHeight="true" hidden="false" ht="11.4" outlineLevel="0" r="709">
      <c r="B709" s="7" t="n">
        <f aca="false">$B$486</f>
        <v>0</v>
      </c>
      <c r="C709" s="7" t="n">
        <f aca="false">$C$486</f>
        <v>0</v>
      </c>
      <c r="D709" s="92" t="e">
        <f aca="false">$D$486</f>
        <v>#VALUE!</v>
      </c>
      <c r="E709" s="92" t="e">
        <f aca="false">$E$486</f>
        <v>#VALUE!</v>
      </c>
      <c r="F709" s="92" t="e">
        <f aca="false">$F$486</f>
        <v>#VALUE!</v>
      </c>
      <c r="G709" s="92" t="e">
        <f aca="false">$G$486</f>
        <v>#VALUE!</v>
      </c>
      <c r="H709" s="252" t="e">
        <f aca="false">IF(G709="","",COUNTIF(G709:$G$771,"&gt;"&amp;G709))</f>
        <v>#VALUE!</v>
      </c>
      <c r="I709" s="92" t="e">
        <f aca="false">IF(G709="","",COUNTIF(G709:$G$771,"&lt;"&amp;G709))</f>
        <v>#VALUE!</v>
      </c>
    </row>
    <row collapsed="false" customFormat="false" customHeight="true" hidden="false" ht="11.4" outlineLevel="0" r="710">
      <c r="B710" s="7" t="n">
        <f aca="false">$B$487</f>
        <v>0</v>
      </c>
      <c r="C710" s="7" t="n">
        <f aca="false">C466</f>
        <v>0</v>
      </c>
      <c r="D710" s="92" t="e">
        <f aca="false">$D$487</f>
        <v>#VALUE!</v>
      </c>
      <c r="E710" s="92" t="e">
        <f aca="false">$E$487</f>
        <v>#VALUE!</v>
      </c>
      <c r="F710" s="92" t="e">
        <f aca="false">$F$487</f>
        <v>#VALUE!</v>
      </c>
      <c r="G710" s="92" t="e">
        <f aca="false">$G$487</f>
        <v>#VALUE!</v>
      </c>
      <c r="H710" s="252" t="e">
        <f aca="false">IF(G710="","",COUNTIF(G710:$G$771,"&gt;"&amp;G710))</f>
        <v>#VALUE!</v>
      </c>
      <c r="I710" s="92" t="e">
        <f aca="false">IF(G710="","",COUNTIF(G710:$G$771,"&lt;"&amp;G710))</f>
        <v>#VALUE!</v>
      </c>
    </row>
    <row collapsed="false" customFormat="false" customHeight="true" hidden="false" ht="11.4" outlineLevel="0" r="711">
      <c r="B711" s="7" t="n">
        <f aca="false">$B$503</f>
        <v>0</v>
      </c>
      <c r="C711" s="7" t="n">
        <f aca="false">$C$503</f>
        <v>0</v>
      </c>
      <c r="D711" s="92" t="e">
        <f aca="false">$D$503</f>
        <v>#VALUE!</v>
      </c>
      <c r="E711" s="92" t="e">
        <f aca="false">$E$503</f>
        <v>#VALUE!</v>
      </c>
      <c r="F711" s="92" t="e">
        <f aca="false">$F$503</f>
        <v>#VALUE!</v>
      </c>
      <c r="G711" s="92" t="e">
        <f aca="false">$G$503</f>
        <v>#VALUE!</v>
      </c>
      <c r="H711" s="252" t="e">
        <f aca="false">IF(G711="","",COUNTIF(G711:$G$771,"&gt;"&amp;G711))</f>
        <v>#VALUE!</v>
      </c>
      <c r="I711" s="92" t="e">
        <f aca="false">IF(G711="","",COUNTIF(G711:$G$771,"&lt;"&amp;G711))</f>
        <v>#VALUE!</v>
      </c>
    </row>
    <row collapsed="false" customFormat="false" customHeight="true" hidden="false" ht="11.4" outlineLevel="0" r="712">
      <c r="B712" s="7" t="n">
        <f aca="false">$B$504</f>
        <v>0</v>
      </c>
      <c r="C712" s="7" t="n">
        <f aca="false">$C$504</f>
        <v>0</v>
      </c>
      <c r="D712" s="92" t="e">
        <f aca="false">$D$504</f>
        <v>#VALUE!</v>
      </c>
      <c r="E712" s="92" t="e">
        <f aca="false">$E$504</f>
        <v>#VALUE!</v>
      </c>
      <c r="F712" s="92" t="e">
        <f aca="false">$F$504</f>
        <v>#VALUE!</v>
      </c>
      <c r="G712" s="92" t="e">
        <f aca="false">$G$504</f>
        <v>#VALUE!</v>
      </c>
      <c r="H712" s="252" t="e">
        <f aca="false">IF(G712="","",COUNTIF(G712:$G$771,"&gt;"&amp;G712))</f>
        <v>#VALUE!</v>
      </c>
      <c r="I712" s="92" t="e">
        <f aca="false">IF(G712="","",COUNTIF(G712:$G$771,"&lt;"&amp;G712))</f>
        <v>#VALUE!</v>
      </c>
    </row>
    <row collapsed="false" customFormat="false" customHeight="true" hidden="false" ht="11.4" outlineLevel="0" r="713">
      <c r="B713" s="7" t="n">
        <f aca="false">$B$505</f>
        <v>0</v>
      </c>
      <c r="C713" s="7" t="n">
        <f aca="false">$C$505</f>
        <v>0</v>
      </c>
      <c r="D713" s="92" t="e">
        <f aca="false">$D$505</f>
        <v>#VALUE!</v>
      </c>
      <c r="E713" s="92" t="e">
        <f aca="false">$E$505</f>
        <v>#VALUE!</v>
      </c>
      <c r="F713" s="92" t="e">
        <f aca="false">$F$505</f>
        <v>#VALUE!</v>
      </c>
      <c r="G713" s="92" t="e">
        <f aca="false">$G$505</f>
        <v>#VALUE!</v>
      </c>
      <c r="H713" s="252" t="e">
        <f aca="false">IF(G713="","",COUNTIF(G713:$G$771,"&gt;"&amp;G713))</f>
        <v>#VALUE!</v>
      </c>
      <c r="I713" s="92" t="e">
        <f aca="false">IF(G713="","",COUNTIF(G713:$G$771,"&lt;"&amp;G713))</f>
        <v>#VALUE!</v>
      </c>
    </row>
    <row collapsed="false" customFormat="false" customHeight="true" hidden="false" ht="11.4" outlineLevel="0" r="714">
      <c r="B714" s="7" t="n">
        <f aca="false">$B$521</f>
        <v>0</v>
      </c>
      <c r="C714" s="7" t="n">
        <f aca="false">$C$521</f>
        <v>0</v>
      </c>
      <c r="D714" s="92" t="e">
        <f aca="false">$D$521</f>
        <v>#VALUE!</v>
      </c>
      <c r="E714" s="92" t="e">
        <f aca="false">$E$521</f>
        <v>#VALUE!</v>
      </c>
      <c r="F714" s="92" t="e">
        <f aca="false">$F$521</f>
        <v>#VALUE!</v>
      </c>
      <c r="G714" s="92" t="e">
        <f aca="false">$G$521</f>
        <v>#VALUE!</v>
      </c>
      <c r="H714" s="252" t="e">
        <f aca="false">IF(G714="","",COUNTIF(G714:$G$771,"&gt;"&amp;G714))</f>
        <v>#VALUE!</v>
      </c>
      <c r="I714" s="92" t="e">
        <f aca="false">IF(G714="","",COUNTIF(G714:$G$771,"&lt;"&amp;G714))</f>
        <v>#VALUE!</v>
      </c>
    </row>
    <row collapsed="false" customFormat="false" customHeight="true" hidden="false" ht="11.4" outlineLevel="0" r="715">
      <c r="B715" s="7" t="n">
        <f aca="false">$B$481</f>
        <v>0</v>
      </c>
      <c r="C715" s="7" t="n">
        <f aca="false">$C$481</f>
        <v>0</v>
      </c>
      <c r="D715" s="92" t="e">
        <f aca="false">$D$481</f>
        <v>#VALUE!</v>
      </c>
      <c r="E715" s="92" t="e">
        <f aca="false">$E$481</f>
        <v>#VALUE!</v>
      </c>
      <c r="F715" s="92" t="e">
        <f aca="false">$F$481</f>
        <v>#VALUE!</v>
      </c>
      <c r="G715" s="92" t="e">
        <f aca="false">$G$481</f>
        <v>#VALUE!</v>
      </c>
      <c r="H715" s="252" t="e">
        <f aca="false">IF(G715="","",COUNTIF(G715:$G$771,"&gt;"&amp;G715))</f>
        <v>#VALUE!</v>
      </c>
      <c r="I715" s="92" t="e">
        <f aca="false">IF(G715="","",COUNTIF(G715:$G$771,"&lt;"&amp;G715))</f>
        <v>#VALUE!</v>
      </c>
    </row>
    <row collapsed="false" customFormat="false" customHeight="true" hidden="false" ht="11.4" outlineLevel="0" r="716">
      <c r="B716" s="7" t="n">
        <f aca="false">$B$499</f>
        <v>0</v>
      </c>
      <c r="C716" s="7" t="n">
        <f aca="false">$C$499</f>
        <v>0</v>
      </c>
      <c r="D716" s="92" t="e">
        <f aca="false">$D$499</f>
        <v>#VALUE!</v>
      </c>
      <c r="E716" s="92" t="e">
        <f aca="false">$E$499</f>
        <v>#VALUE!</v>
      </c>
      <c r="F716" s="92" t="e">
        <f aca="false">$F$499</f>
        <v>#VALUE!</v>
      </c>
      <c r="G716" s="92" t="e">
        <f aca="false">$G$499</f>
        <v>#VALUE!</v>
      </c>
      <c r="H716" s="252" t="e">
        <f aca="false">IF(G716="","",COUNTIF(G716:$G$771,"&gt;"&amp;G716))</f>
        <v>#VALUE!</v>
      </c>
      <c r="I716" s="92" t="e">
        <f aca="false">IF(G716="","",COUNTIF(G716:$G$771,"&lt;"&amp;G716))</f>
        <v>#VALUE!</v>
      </c>
    </row>
    <row collapsed="false" customFormat="false" customHeight="true" hidden="false" ht="11.4" outlineLevel="0" r="717">
      <c r="B717" s="7" t="n">
        <f aca="false">$B$500</f>
        <v>0</v>
      </c>
      <c r="C717" s="7" t="n">
        <f aca="false">$C$500</f>
        <v>0</v>
      </c>
      <c r="D717" s="92" t="e">
        <f aca="false">$D$500</f>
        <v>#VALUE!</v>
      </c>
      <c r="E717" s="92" t="e">
        <f aca="false">$E$500</f>
        <v>#VALUE!</v>
      </c>
      <c r="F717" s="92" t="e">
        <f aca="false">$F$500</f>
        <v>#VALUE!</v>
      </c>
      <c r="G717" s="92" t="e">
        <f aca="false">$G$500</f>
        <v>#VALUE!</v>
      </c>
      <c r="H717" s="252" t="e">
        <f aca="false">IF(G717="","",COUNTIF(G717:$G$771,"&gt;"&amp;G717))</f>
        <v>#VALUE!</v>
      </c>
      <c r="I717" s="92" t="e">
        <f aca="false">IF(G717="","",COUNTIF(G717:$G$771,"&lt;"&amp;G717))</f>
        <v>#VALUE!</v>
      </c>
    </row>
    <row collapsed="false" customFormat="false" customHeight="true" hidden="false" ht="11.4" outlineLevel="0" r="718">
      <c r="B718" s="7" t="n">
        <f aca="false">$B$506</f>
        <v>0</v>
      </c>
      <c r="C718" s="7" t="n">
        <f aca="false">$C$506</f>
        <v>0</v>
      </c>
      <c r="D718" s="92" t="e">
        <f aca="false">$D$506</f>
        <v>#VALUE!</v>
      </c>
      <c r="E718" s="92" t="e">
        <f aca="false">$E$506</f>
        <v>#VALUE!</v>
      </c>
      <c r="F718" s="92" t="e">
        <f aca="false">$F$506</f>
        <v>#VALUE!</v>
      </c>
      <c r="G718" s="92" t="e">
        <f aca="false">$G$506</f>
        <v>#VALUE!</v>
      </c>
      <c r="H718" s="252" t="e">
        <f aca="false">IF(G718="","",COUNTIF(G718:$G$771,"&gt;"&amp;G718))</f>
        <v>#VALUE!</v>
      </c>
      <c r="I718" s="92" t="e">
        <f aca="false">IF(G718="","",COUNTIF(G718:$G$771,"&lt;"&amp;G718))</f>
        <v>#VALUE!</v>
      </c>
    </row>
    <row collapsed="false" customFormat="false" customHeight="true" hidden="false" ht="11.4" outlineLevel="0" r="719">
      <c r="B719" s="7" t="n">
        <f aca="false">$B$508</f>
        <v>0</v>
      </c>
      <c r="C719" s="7" t="n">
        <f aca="false">$C$508</f>
        <v>0</v>
      </c>
      <c r="D719" s="92" t="e">
        <f aca="false">$D$508</f>
        <v>#VALUE!</v>
      </c>
      <c r="E719" s="92" t="e">
        <f aca="false">$E$508</f>
        <v>#VALUE!</v>
      </c>
      <c r="F719" s="92" t="e">
        <f aca="false">$F$508</f>
        <v>#VALUE!</v>
      </c>
      <c r="G719" s="92" t="e">
        <f aca="false">$G$508</f>
        <v>#VALUE!</v>
      </c>
      <c r="H719" s="252" t="e">
        <f aca="false">IF(G719="","",COUNTIF(G719:$G$771,"&gt;"&amp;G719))</f>
        <v>#VALUE!</v>
      </c>
      <c r="I719" s="92" t="e">
        <f aca="false">IF(G719="","",COUNTIF(G719:$G$771,"&lt;"&amp;G719))</f>
        <v>#VALUE!</v>
      </c>
    </row>
    <row collapsed="false" customFormat="false" customHeight="true" hidden="false" ht="11.4" outlineLevel="0" r="720">
      <c r="B720" s="7" t="n">
        <f aca="false">$B$513</f>
        <v>0</v>
      </c>
      <c r="C720" s="7" t="n">
        <f aca="false">$C$513</f>
        <v>0</v>
      </c>
      <c r="D720" s="92" t="e">
        <f aca="false">$D$513</f>
        <v>#VALUE!</v>
      </c>
      <c r="E720" s="92" t="e">
        <f aca="false">$E$513</f>
        <v>#VALUE!</v>
      </c>
      <c r="F720" s="92" t="e">
        <f aca="false">$F$513</f>
        <v>#VALUE!</v>
      </c>
      <c r="G720" s="92" t="e">
        <f aca="false">$G$513</f>
        <v>#VALUE!</v>
      </c>
      <c r="H720" s="252" t="e">
        <f aca="false">IF(G720="","",COUNTIF(G720:$G$771,"&gt;"&amp;G720))</f>
        <v>#VALUE!</v>
      </c>
      <c r="I720" s="92" t="e">
        <f aca="false">IF(G720="","",COUNTIF(G720:$G$771,"&lt;"&amp;G720))</f>
        <v>#VALUE!</v>
      </c>
    </row>
    <row collapsed="false" customFormat="false" customHeight="true" hidden="false" ht="11.4" outlineLevel="0" r="721">
      <c r="B721" s="7" t="n">
        <f aca="false">$B$516</f>
        <v>0</v>
      </c>
      <c r="C721" s="7" t="n">
        <f aca="false">$C$516</f>
        <v>0</v>
      </c>
      <c r="D721" s="92" t="e">
        <f aca="false">$D$516</f>
        <v>#VALUE!</v>
      </c>
      <c r="E721" s="92" t="e">
        <f aca="false">$E$516</f>
        <v>#VALUE!</v>
      </c>
      <c r="F721" s="92" t="e">
        <f aca="false">$F$516</f>
        <v>#VALUE!</v>
      </c>
      <c r="G721" s="92" t="e">
        <f aca="false">$G$516</f>
        <v>#VALUE!</v>
      </c>
      <c r="H721" s="252" t="e">
        <f aca="false">IF(G721="","",COUNTIF(G721:$G$771,"&gt;"&amp;G721))</f>
        <v>#VALUE!</v>
      </c>
      <c r="I721" s="92" t="e">
        <f aca="false">IF(G721="","",COUNTIF(G721:$G$771,"&lt;"&amp;G721))</f>
        <v>#VALUE!</v>
      </c>
    </row>
    <row collapsed="false" customFormat="false" customHeight="true" hidden="false" ht="11.4" outlineLevel="0" r="722">
      <c r="B722" s="7" t="n">
        <f aca="false">$B$517</f>
        <v>0</v>
      </c>
      <c r="C722" s="7" t="n">
        <f aca="false">$C$517</f>
        <v>0</v>
      </c>
      <c r="D722" s="92" t="e">
        <f aca="false">$D$517</f>
        <v>#VALUE!</v>
      </c>
      <c r="E722" s="92" t="e">
        <f aca="false">$E$517</f>
        <v>#VALUE!</v>
      </c>
      <c r="F722" s="92" t="e">
        <f aca="false">$F$517</f>
        <v>#VALUE!</v>
      </c>
      <c r="G722" s="92" t="e">
        <f aca="false">$G$517</f>
        <v>#VALUE!</v>
      </c>
      <c r="H722" s="252" t="e">
        <f aca="false">IF(G722="","",COUNTIF(G722:$G$771,"&gt;"&amp;G722))</f>
        <v>#VALUE!</v>
      </c>
      <c r="I722" s="92" t="e">
        <f aca="false">IF(G722="","",COUNTIF(G722:$G$771,"&lt;"&amp;G722))</f>
        <v>#VALUE!</v>
      </c>
    </row>
    <row collapsed="false" customFormat="false" customHeight="true" hidden="false" ht="11.4" outlineLevel="0" r="723">
      <c r="B723" s="7" t="n">
        <f aca="false">$B$519</f>
        <v>0</v>
      </c>
      <c r="C723" s="7" t="n">
        <f aca="false">$C$519</f>
        <v>0</v>
      </c>
      <c r="D723" s="92" t="e">
        <f aca="false">$D$519</f>
        <v>#VALUE!</v>
      </c>
      <c r="E723" s="92" t="e">
        <f aca="false">$E$519</f>
        <v>#VALUE!</v>
      </c>
      <c r="F723" s="92" t="e">
        <f aca="false">$F$519</f>
        <v>#VALUE!</v>
      </c>
      <c r="G723" s="92" t="e">
        <f aca="false">$G$519</f>
        <v>#VALUE!</v>
      </c>
      <c r="H723" s="252" t="e">
        <f aca="false">IF(G723="","",COUNTIF(G723:$G$771,"&gt;"&amp;G723))</f>
        <v>#VALUE!</v>
      </c>
      <c r="I723" s="92" t="e">
        <f aca="false">IF(G723="","",COUNTIF(G723:$G$771,"&lt;"&amp;G723))</f>
        <v>#VALUE!</v>
      </c>
    </row>
    <row collapsed="false" customFormat="false" customHeight="true" hidden="false" ht="11.4" outlineLevel="0" r="724">
      <c r="B724" s="7" t="n">
        <f aca="false">$B$522</f>
        <v>0</v>
      </c>
      <c r="C724" s="7" t="n">
        <f aca="false">$C$522</f>
        <v>0</v>
      </c>
      <c r="D724" s="92" t="e">
        <f aca="false">$D$522</f>
        <v>#VALUE!</v>
      </c>
      <c r="E724" s="92" t="e">
        <f aca="false">$E$522</f>
        <v>#VALUE!</v>
      </c>
      <c r="F724" s="92" t="e">
        <f aca="false">$F$522</f>
        <v>#VALUE!</v>
      </c>
      <c r="G724" s="92" t="e">
        <f aca="false">$G$522</f>
        <v>#VALUE!</v>
      </c>
      <c r="H724" s="252" t="e">
        <f aca="false">IF(G724="","",COUNTIF(G724:$G$771,"&gt;"&amp;G724))</f>
        <v>#VALUE!</v>
      </c>
      <c r="I724" s="92" t="e">
        <f aca="false">IF(G724="","",COUNTIF(G724:$G$771,"&lt;"&amp;G724))</f>
        <v>#VALUE!</v>
      </c>
    </row>
    <row collapsed="false" customFormat="false" customHeight="true" hidden="false" ht="11.4" outlineLevel="0" r="725">
      <c r="B725" s="7" t="n">
        <f aca="false">$B$464</f>
        <v>0</v>
      </c>
      <c r="C725" s="7" t="n">
        <f aca="false">$C$464</f>
        <v>0</v>
      </c>
      <c r="D725" s="92" t="e">
        <f aca="false">$D$464</f>
        <v>#VALUE!</v>
      </c>
      <c r="E725" s="92" t="e">
        <f aca="false">$E$464</f>
        <v>#VALUE!</v>
      </c>
      <c r="F725" s="92" t="e">
        <f aca="false">$F$464</f>
        <v>#VALUE!</v>
      </c>
      <c r="G725" s="92" t="e">
        <f aca="false">$G$464</f>
        <v>#VALUE!</v>
      </c>
      <c r="H725" s="252" t="e">
        <f aca="false">IF(G725="","",COUNTIF(G725:$G$771,"&gt;"&amp;G725))</f>
        <v>#VALUE!</v>
      </c>
      <c r="I725" s="92" t="e">
        <f aca="false">IF(G725="","",COUNTIF(G725:$G$771,"&lt;"&amp;G725))</f>
        <v>#VALUE!</v>
      </c>
    </row>
    <row collapsed="false" customFormat="false" customHeight="true" hidden="false" ht="11.4" outlineLevel="0" r="726">
      <c r="B726" s="7" t="n">
        <f aca="false">$B$467</f>
        <v>0</v>
      </c>
      <c r="C726" s="7" t="n">
        <f aca="false">$C$467</f>
        <v>0</v>
      </c>
      <c r="D726" s="92" t="e">
        <f aca="false">$D$467</f>
        <v>#VALUE!</v>
      </c>
      <c r="E726" s="92" t="e">
        <f aca="false">$E$467</f>
        <v>#VALUE!</v>
      </c>
      <c r="F726" s="92" t="e">
        <f aca="false">$F$467</f>
        <v>#VALUE!</v>
      </c>
      <c r="G726" s="92" t="e">
        <f aca="false">$G$467</f>
        <v>#VALUE!</v>
      </c>
      <c r="H726" s="252" t="e">
        <f aca="false">IF(G726="","",COUNTIF(G726:$G$771,"&gt;"&amp;G726))</f>
        <v>#VALUE!</v>
      </c>
      <c r="I726" s="92" t="e">
        <f aca="false">IF(G726="","",COUNTIF(G726:$G$771,"&lt;"&amp;G726))</f>
        <v>#VALUE!</v>
      </c>
    </row>
    <row collapsed="false" customFormat="false" customHeight="true" hidden="false" ht="11.4" outlineLevel="0" r="727">
      <c r="B727" s="7" t="n">
        <f aca="false">$B$468</f>
        <v>0</v>
      </c>
      <c r="C727" s="7" t="n">
        <f aca="false">$C$468</f>
        <v>0</v>
      </c>
      <c r="D727" s="92" t="e">
        <f aca="false">$D$468</f>
        <v>#VALUE!</v>
      </c>
      <c r="E727" s="92" t="e">
        <f aca="false">$E$468</f>
        <v>#VALUE!</v>
      </c>
      <c r="F727" s="92" t="e">
        <f aca="false">$F$468</f>
        <v>#VALUE!</v>
      </c>
      <c r="G727" s="92" t="e">
        <f aca="false">$G$468</f>
        <v>#VALUE!</v>
      </c>
      <c r="H727" s="252" t="e">
        <f aca="false">IF(G727="","",COUNTIF(G727:$G$771,"&gt;"&amp;G727))</f>
        <v>#VALUE!</v>
      </c>
      <c r="I727" s="92" t="e">
        <f aca="false">IF(G727="","",COUNTIF(G727:$G$771,"&lt;"&amp;G727))</f>
        <v>#VALUE!</v>
      </c>
    </row>
    <row collapsed="false" customFormat="false" customHeight="true" hidden="false" ht="11.4" outlineLevel="0" r="728">
      <c r="B728" s="7" t="n">
        <f aca="false">$B$510</f>
        <v>0</v>
      </c>
      <c r="C728" s="7" t="n">
        <f aca="false">$C$510</f>
        <v>0</v>
      </c>
      <c r="D728" s="92" t="e">
        <f aca="false">$D$510</f>
        <v>#VALUE!</v>
      </c>
      <c r="E728" s="92" t="e">
        <f aca="false">$E$510</f>
        <v>#VALUE!</v>
      </c>
      <c r="F728" s="92" t="e">
        <f aca="false">$F$510</f>
        <v>#VALUE!</v>
      </c>
      <c r="G728" s="92" t="e">
        <f aca="false">$G$510</f>
        <v>#VALUE!</v>
      </c>
      <c r="H728" s="252" t="e">
        <f aca="false">IF(G728="","",COUNTIF(G728:$G$771,"&gt;"&amp;G728))</f>
        <v>#VALUE!</v>
      </c>
      <c r="I728" s="92" t="e">
        <f aca="false">IF(G728="","",COUNTIF(G728:$G$771,"&lt;"&amp;G728))</f>
        <v>#VALUE!</v>
      </c>
    </row>
    <row collapsed="false" customFormat="false" customHeight="true" hidden="false" ht="11.4" outlineLevel="0" r="729">
      <c r="B729" s="7" t="n">
        <f aca="false">$B$514</f>
        <v>0</v>
      </c>
      <c r="C729" s="7" t="n">
        <f aca="false">$C$514</f>
        <v>0</v>
      </c>
      <c r="D729" s="92" t="e">
        <f aca="false">$D$514</f>
        <v>#VALUE!</v>
      </c>
      <c r="E729" s="92" t="e">
        <f aca="false">$E$514</f>
        <v>#VALUE!</v>
      </c>
      <c r="F729" s="92" t="e">
        <f aca="false">$F$514</f>
        <v>#VALUE!</v>
      </c>
      <c r="G729" s="92" t="e">
        <f aca="false">$G$514</f>
        <v>#VALUE!</v>
      </c>
      <c r="H729" s="252" t="e">
        <f aca="false">IF(G729="","",COUNTIF(G729:$G$771,"&gt;"&amp;G729))</f>
        <v>#VALUE!</v>
      </c>
      <c r="I729" s="92" t="e">
        <f aca="false">IF(G729="","",COUNTIF(G729:$G$771,"&lt;"&amp;G729))</f>
        <v>#VALUE!</v>
      </c>
    </row>
    <row collapsed="false" customFormat="false" customHeight="true" hidden="false" ht="11.4" outlineLevel="0" r="730">
      <c r="B730" s="7" t="n">
        <f aca="false">$B$524</f>
        <v>0</v>
      </c>
      <c r="C730" s="7" t="n">
        <f aca="false">$C$524</f>
        <v>0</v>
      </c>
      <c r="D730" s="92" t="e">
        <f aca="false">$D$524</f>
        <v>#VALUE!</v>
      </c>
      <c r="E730" s="92" t="e">
        <f aca="false">$E$524</f>
        <v>#VALUE!</v>
      </c>
      <c r="F730" s="92" t="e">
        <f aca="false">$F$524</f>
        <v>#VALUE!</v>
      </c>
      <c r="G730" s="92" t="e">
        <f aca="false">$G$524</f>
        <v>#VALUE!</v>
      </c>
      <c r="H730" s="252" t="e">
        <f aca="false">IF(G730="","",COUNTIF(G730:$G$771,"&gt;"&amp;G730))</f>
        <v>#VALUE!</v>
      </c>
      <c r="I730" s="92" t="e">
        <f aca="false">IF(G730="","",COUNTIF(G730:$G$771,"&lt;"&amp;G730))</f>
        <v>#VALUE!</v>
      </c>
    </row>
    <row collapsed="false" customFormat="false" customHeight="true" hidden="false" ht="11.4" outlineLevel="0" r="731">
      <c r="B731" s="7" t="n">
        <f aca="false">$B$525</f>
        <v>0</v>
      </c>
      <c r="C731" s="7" t="n">
        <f aca="false">$C$525</f>
        <v>0</v>
      </c>
      <c r="D731" s="92" t="e">
        <f aca="false">$D$525</f>
        <v>#VALUE!</v>
      </c>
      <c r="E731" s="92" t="e">
        <f aca="false">$E$525</f>
        <v>#VALUE!</v>
      </c>
      <c r="F731" s="92" t="e">
        <f aca="false">$F$525</f>
        <v>#VALUE!</v>
      </c>
      <c r="G731" s="92" t="e">
        <f aca="false">$G$525</f>
        <v>#VALUE!</v>
      </c>
      <c r="H731" s="252" t="e">
        <f aca="false">IF(G731="","",COUNTIF(G731:$G$771,"&gt;"&amp;G731))</f>
        <v>#VALUE!</v>
      </c>
      <c r="I731" s="92" t="e">
        <f aca="false">IF(G731="","",COUNTIF(G731:$G$771,"&lt;"&amp;G731))</f>
        <v>#VALUE!</v>
      </c>
    </row>
    <row collapsed="false" customFormat="false" customHeight="true" hidden="false" ht="11.4" outlineLevel="0" r="732">
      <c r="B732" s="7" t="n">
        <f aca="false">$B$465</f>
        <v>0</v>
      </c>
      <c r="C732" s="7" t="n">
        <f aca="false">$C$465</f>
        <v>0</v>
      </c>
      <c r="D732" s="92" t="e">
        <f aca="false">$D$465</f>
        <v>#VALUE!</v>
      </c>
      <c r="E732" s="92" t="e">
        <f aca="false">$E$465</f>
        <v>#VALUE!</v>
      </c>
      <c r="F732" s="92" t="e">
        <f aca="false">$F$465</f>
        <v>#VALUE!</v>
      </c>
      <c r="G732" s="92" t="e">
        <f aca="false">$G$465</f>
        <v>#VALUE!</v>
      </c>
      <c r="H732" s="252" t="e">
        <f aca="false">IF(G732="","",COUNTIF(G732:$G$771,"&gt;"&amp;G732))</f>
        <v>#VALUE!</v>
      </c>
      <c r="I732" s="92" t="e">
        <f aca="false">IF(G732="","",COUNTIF(G732:$G$771,"&lt;"&amp;G732))</f>
        <v>#VALUE!</v>
      </c>
    </row>
    <row collapsed="false" customFormat="false" customHeight="true" hidden="false" ht="11.4" outlineLevel="0" r="733">
      <c r="B733" s="7" t="n">
        <f aca="false">$B$466</f>
        <v>0</v>
      </c>
      <c r="C733" s="92" t="n">
        <f aca="false">$C$466</f>
        <v>0</v>
      </c>
      <c r="D733" s="92" t="e">
        <f aca="false">$D$466</f>
        <v>#VALUE!</v>
      </c>
      <c r="E733" s="92" t="e">
        <f aca="false">$E$466</f>
        <v>#VALUE!</v>
      </c>
      <c r="F733" s="92" t="e">
        <f aca="false">$F$466</f>
        <v>#VALUE!</v>
      </c>
      <c r="G733" s="92" t="e">
        <f aca="false">$G$466</f>
        <v>#VALUE!</v>
      </c>
      <c r="H733" s="252" t="e">
        <f aca="false">IF(G733="","",COUNTIF(G733:$G$771,"&gt;"&amp;G733))</f>
        <v>#VALUE!</v>
      </c>
      <c r="I733" s="92" t="e">
        <f aca="false">IF(G733="","",COUNTIF(G733:$G$771,"&lt;"&amp;G733))</f>
        <v>#VALUE!</v>
      </c>
    </row>
    <row collapsed="false" customFormat="false" customHeight="true" hidden="false" ht="11.4" outlineLevel="0" r="734">
      <c r="B734" s="7" t="n">
        <f aca="false">$B$469</f>
        <v>0</v>
      </c>
      <c r="C734" s="7" t="n">
        <f aca="false">$C$469</f>
        <v>0</v>
      </c>
      <c r="D734" s="92" t="e">
        <f aca="false">$D$469</f>
        <v>#VALUE!</v>
      </c>
      <c r="E734" s="92" t="e">
        <f aca="false">$E$469</f>
        <v>#VALUE!</v>
      </c>
      <c r="F734" s="92" t="e">
        <f aca="false">$F$469</f>
        <v>#VALUE!</v>
      </c>
      <c r="G734" s="92" t="e">
        <f aca="false">$G$469</f>
        <v>#VALUE!</v>
      </c>
      <c r="H734" s="252" t="e">
        <f aca="false">IF(G734="","",COUNTIF(G734:$G$771,"&gt;"&amp;G734))</f>
        <v>#VALUE!</v>
      </c>
      <c r="I734" s="92" t="e">
        <f aca="false">IF(G734="","",COUNTIF(G734:$G$771,"&lt;"&amp;G734))</f>
        <v>#VALUE!</v>
      </c>
    </row>
    <row collapsed="false" customFormat="false" customHeight="true" hidden="false" ht="11.4" outlineLevel="0" r="735">
      <c r="B735" s="7" t="n">
        <f aca="false">$B$471</f>
        <v>0</v>
      </c>
      <c r="C735" s="7" t="n">
        <f aca="false">$C$471</f>
        <v>0</v>
      </c>
      <c r="D735" s="92" t="e">
        <f aca="false">$D$471</f>
        <v>#VALUE!</v>
      </c>
      <c r="E735" s="92" t="e">
        <f aca="false">$E$471</f>
        <v>#VALUE!</v>
      </c>
      <c r="F735" s="92" t="e">
        <f aca="false">$F$471</f>
        <v>#VALUE!</v>
      </c>
      <c r="G735" s="92" t="e">
        <f aca="false">$G$471</f>
        <v>#VALUE!</v>
      </c>
      <c r="H735" s="252" t="e">
        <f aca="false">IF(G735="","",COUNTIF(G735:$G$771,"&gt;"&amp;G735))</f>
        <v>#VALUE!</v>
      </c>
      <c r="I735" s="92" t="e">
        <f aca="false">IF(G735="","",COUNTIF(G735:$G$771,"&lt;"&amp;G735))</f>
        <v>#VALUE!</v>
      </c>
    </row>
    <row collapsed="false" customFormat="false" customHeight="true" hidden="false" ht="11.4" outlineLevel="0" r="736">
      <c r="B736" s="7" t="n">
        <f aca="false">$B$480</f>
        <v>0</v>
      </c>
      <c r="C736" s="7" t="n">
        <f aca="false">$C$480</f>
        <v>0</v>
      </c>
      <c r="D736" s="92" t="e">
        <f aca="false">$D$480</f>
        <v>#VALUE!</v>
      </c>
      <c r="E736" s="92" t="e">
        <f aca="false">$E$480</f>
        <v>#VALUE!</v>
      </c>
      <c r="F736" s="92" t="e">
        <f aca="false">$F$480</f>
        <v>#VALUE!</v>
      </c>
      <c r="G736" s="92" t="e">
        <f aca="false">$G$480</f>
        <v>#VALUE!</v>
      </c>
      <c r="H736" s="252" t="e">
        <f aca="false">IF(G736="","",COUNTIF(G736:$G$771,"&gt;"&amp;G736))</f>
        <v>#VALUE!</v>
      </c>
      <c r="I736" s="92" t="e">
        <f aca="false">IF(G736="","",COUNTIF(G736:$G$771,"&lt;"&amp;G736))</f>
        <v>#VALUE!</v>
      </c>
    </row>
    <row collapsed="false" customFormat="false" customHeight="true" hidden="false" ht="11.4" outlineLevel="0" r="737">
      <c r="B737" s="7" t="n">
        <f aca="false">$B$484</f>
        <v>0</v>
      </c>
      <c r="C737" s="7" t="n">
        <f aca="false">$C$484</f>
        <v>0</v>
      </c>
      <c r="D737" s="92" t="e">
        <f aca="false">$D$484</f>
        <v>#VALUE!</v>
      </c>
      <c r="E737" s="92" t="e">
        <f aca="false">$E$484</f>
        <v>#VALUE!</v>
      </c>
      <c r="F737" s="92" t="e">
        <f aca="false">$F$484</f>
        <v>#VALUE!</v>
      </c>
      <c r="G737" s="92" t="e">
        <f aca="false">$G$484</f>
        <v>#VALUE!</v>
      </c>
      <c r="H737" s="252" t="e">
        <f aca="false">IF(G737="","",COUNTIF(G737:$G$771,"&gt;"&amp;G737))</f>
        <v>#VALUE!</v>
      </c>
      <c r="I737" s="92" t="e">
        <f aca="false">IF(G737="","",COUNTIF(G737:$G$771,"&lt;"&amp;G737))</f>
        <v>#VALUE!</v>
      </c>
    </row>
    <row collapsed="false" customFormat="false" customHeight="true" hidden="false" ht="11.4" outlineLevel="0" r="738">
      <c r="B738" s="7" t="n">
        <f aca="false">$B$489</f>
        <v>0</v>
      </c>
      <c r="C738" s="7" t="n">
        <f aca="false">$C$489</f>
        <v>0</v>
      </c>
      <c r="D738" s="92" t="e">
        <f aca="false">$D$489</f>
        <v>#VALUE!</v>
      </c>
      <c r="E738" s="92" t="e">
        <f aca="false">$E$489</f>
        <v>#VALUE!</v>
      </c>
      <c r="F738" s="92" t="e">
        <f aca="false">$F$489</f>
        <v>#VALUE!</v>
      </c>
      <c r="G738" s="92" t="e">
        <f aca="false">$G$489</f>
        <v>#VALUE!</v>
      </c>
      <c r="H738" s="252" t="e">
        <f aca="false">IF(G738="","",COUNTIF(G738:$G$771,"&gt;"&amp;G738))</f>
        <v>#VALUE!</v>
      </c>
      <c r="I738" s="92" t="e">
        <f aca="false">IF(G738="","",COUNTIF(G738:$G$771,"&lt;"&amp;G738))</f>
        <v>#VALUE!</v>
      </c>
    </row>
    <row collapsed="false" customFormat="false" customHeight="true" hidden="false" ht="11.4" outlineLevel="0" r="739">
      <c r="B739" s="7" t="n">
        <f aca="false">$B$491</f>
        <v>0</v>
      </c>
      <c r="C739" s="7" t="n">
        <f aca="false">$C$491</f>
        <v>0</v>
      </c>
      <c r="D739" s="92" t="e">
        <f aca="false">$D$491</f>
        <v>#VALUE!</v>
      </c>
      <c r="E739" s="92" t="e">
        <f aca="false">$E$491</f>
        <v>#VALUE!</v>
      </c>
      <c r="F739" s="92" t="e">
        <f aca="false">$F$491</f>
        <v>#VALUE!</v>
      </c>
      <c r="G739" s="92" t="e">
        <f aca="false">$G$491</f>
        <v>#VALUE!</v>
      </c>
      <c r="H739" s="252" t="e">
        <f aca="false">IF(G739="","",COUNTIF(G739:$G$771,"&gt;"&amp;G739))</f>
        <v>#VALUE!</v>
      </c>
      <c r="I739" s="92" t="e">
        <f aca="false">IF(G739="","",COUNTIF(G739:$G$771,"&lt;"&amp;G739))</f>
        <v>#VALUE!</v>
      </c>
    </row>
    <row collapsed="false" customFormat="false" customHeight="true" hidden="false" ht="11.4" outlineLevel="0" r="740">
      <c r="B740" s="7" t="n">
        <f aca="false">$B$492</f>
        <v>0</v>
      </c>
      <c r="C740" s="7" t="n">
        <f aca="false">$C$492</f>
        <v>0</v>
      </c>
      <c r="D740" s="92" t="e">
        <f aca="false">$D$492</f>
        <v>#VALUE!</v>
      </c>
      <c r="E740" s="92" t="e">
        <f aca="false">$E$492</f>
        <v>#VALUE!</v>
      </c>
      <c r="F740" s="92" t="e">
        <f aca="false">$F$492</f>
        <v>#VALUE!</v>
      </c>
      <c r="G740" s="92" t="e">
        <f aca="false">$G$492</f>
        <v>#VALUE!</v>
      </c>
      <c r="H740" s="252" t="e">
        <f aca="false">IF(G740="","",COUNTIF(G740:$G$771,"&gt;"&amp;G740))</f>
        <v>#VALUE!</v>
      </c>
      <c r="I740" s="92" t="e">
        <f aca="false">IF(G740="","",COUNTIF(G740:$G$771,"&lt;"&amp;G740))</f>
        <v>#VALUE!</v>
      </c>
    </row>
    <row collapsed="false" customFormat="false" customHeight="true" hidden="false" ht="11.4" outlineLevel="0" r="741">
      <c r="B741" s="7" t="n">
        <f aca="false">$B$493</f>
        <v>0</v>
      </c>
      <c r="C741" s="7" t="n">
        <f aca="false">$C$493</f>
        <v>0</v>
      </c>
      <c r="D741" s="92" t="e">
        <f aca="false">$D$493</f>
        <v>#VALUE!</v>
      </c>
      <c r="E741" s="92" t="e">
        <f aca="false">$E$493</f>
        <v>#VALUE!</v>
      </c>
      <c r="F741" s="92" t="e">
        <f aca="false">$F$493</f>
        <v>#VALUE!</v>
      </c>
      <c r="G741" s="92" t="e">
        <f aca="false">$G$493</f>
        <v>#VALUE!</v>
      </c>
      <c r="H741" s="252" t="e">
        <f aca="false">IF(G741="","",COUNTIF(G741:$G$771,"&gt;"&amp;G741))</f>
        <v>#VALUE!</v>
      </c>
      <c r="I741" s="92" t="e">
        <f aca="false">IF(G741="","",COUNTIF(G741:$G$771,"&lt;"&amp;G741))</f>
        <v>#VALUE!</v>
      </c>
    </row>
    <row collapsed="false" customFormat="false" customHeight="true" hidden="false" ht="11.4" outlineLevel="0" r="742">
      <c r="B742" s="7" t="n">
        <f aca="false">$B$496</f>
        <v>0</v>
      </c>
      <c r="C742" s="7" t="n">
        <f aca="false">$C$496</f>
        <v>0</v>
      </c>
      <c r="D742" s="92" t="e">
        <f aca="false">$D$496</f>
        <v>#VALUE!</v>
      </c>
      <c r="E742" s="92" t="e">
        <f aca="false">$E$496</f>
        <v>#VALUE!</v>
      </c>
      <c r="F742" s="92" t="e">
        <f aca="false">$F$496</f>
        <v>#VALUE!</v>
      </c>
      <c r="G742" s="92" t="e">
        <f aca="false">$G$496</f>
        <v>#VALUE!</v>
      </c>
      <c r="H742" s="252" t="e">
        <f aca="false">IF(G742="","",COUNTIF(G742:$G$771,"&gt;"&amp;G742))</f>
        <v>#VALUE!</v>
      </c>
      <c r="I742" s="92" t="e">
        <f aca="false">IF(G742="","",COUNTIF(G742:$G$771,"&lt;"&amp;G742))</f>
        <v>#VALUE!</v>
      </c>
    </row>
    <row collapsed="false" customFormat="false" customHeight="true" hidden="false" ht="11.4" outlineLevel="0" r="743">
      <c r="B743" s="7" t="n">
        <f aca="false">$B$497</f>
        <v>0</v>
      </c>
      <c r="C743" s="7" t="n">
        <f aca="false">$C$497</f>
        <v>0</v>
      </c>
      <c r="D743" s="92" t="e">
        <f aca="false">$D$497</f>
        <v>#VALUE!</v>
      </c>
      <c r="E743" s="92" t="e">
        <f aca="false">$E$497</f>
        <v>#VALUE!</v>
      </c>
      <c r="F743" s="92" t="e">
        <f aca="false">$F$497</f>
        <v>#VALUE!</v>
      </c>
      <c r="G743" s="92" t="e">
        <f aca="false">$G$497</f>
        <v>#VALUE!</v>
      </c>
      <c r="H743" s="252" t="e">
        <f aca="false">IF(G743="","",COUNTIF(G743:$G$771,"&gt;"&amp;G743))</f>
        <v>#VALUE!</v>
      </c>
      <c r="I743" s="92" t="e">
        <f aca="false">IF(G743="","",COUNTIF(G743:$G$771,"&lt;"&amp;G743))</f>
        <v>#VALUE!</v>
      </c>
    </row>
    <row collapsed="false" customFormat="false" customHeight="true" hidden="false" ht="11.4" outlineLevel="0" r="744">
      <c r="B744" s="7" t="n">
        <f aca="false">$B$509</f>
        <v>0</v>
      </c>
      <c r="C744" s="7" t="n">
        <f aca="false">$C$509</f>
        <v>0</v>
      </c>
      <c r="D744" s="92" t="e">
        <f aca="false">$D$509</f>
        <v>#VALUE!</v>
      </c>
      <c r="E744" s="92" t="e">
        <f aca="false">$E$509</f>
        <v>#VALUE!</v>
      </c>
      <c r="F744" s="92" t="e">
        <f aca="false">$F$509</f>
        <v>#VALUE!</v>
      </c>
      <c r="G744" s="92" t="e">
        <f aca="false">$G$509</f>
        <v>#VALUE!</v>
      </c>
      <c r="H744" s="252" t="e">
        <f aca="false">IF(G744="","",COUNTIF(G744:$G$771,"&gt;"&amp;G744))</f>
        <v>#VALUE!</v>
      </c>
      <c r="I744" s="92" t="e">
        <f aca="false">IF(G744="","",COUNTIF(G744:$G$771,"&lt;"&amp;G744))</f>
        <v>#VALUE!</v>
      </c>
    </row>
    <row collapsed="false" customFormat="false" customHeight="true" hidden="false" ht="11.4" outlineLevel="0" r="745">
      <c r="B745" s="7" t="n">
        <f aca="false">$B$515</f>
        <v>0</v>
      </c>
      <c r="C745" s="7" t="n">
        <f aca="false">$C$515</f>
        <v>0</v>
      </c>
      <c r="D745" s="92" t="e">
        <f aca="false">$D$515</f>
        <v>#VALUE!</v>
      </c>
      <c r="E745" s="92" t="e">
        <f aca="false">$E$515</f>
        <v>#VALUE!</v>
      </c>
      <c r="F745" s="92" t="e">
        <f aca="false">$F$515</f>
        <v>#VALUE!</v>
      </c>
      <c r="G745" s="92" t="e">
        <f aca="false">$G$515</f>
        <v>#VALUE!</v>
      </c>
      <c r="H745" s="252" t="e">
        <f aca="false">IF(G745="","",COUNTIF(G745:$G$771,"&gt;"&amp;G745))</f>
        <v>#VALUE!</v>
      </c>
      <c r="I745" s="92" t="e">
        <f aca="false">IF(G745="","",COUNTIF(G745:$G$771,"&lt;"&amp;G745))</f>
        <v>#VALUE!</v>
      </c>
    </row>
    <row collapsed="false" customFormat="false" customHeight="true" hidden="false" ht="11.4" outlineLevel="0" r="746">
      <c r="B746" s="7" t="n">
        <f aca="false">$B$518</f>
        <v>0</v>
      </c>
      <c r="C746" s="7" t="n">
        <f aca="false">$C$518</f>
        <v>0</v>
      </c>
      <c r="D746" s="92" t="e">
        <f aca="false">$D$518</f>
        <v>#VALUE!</v>
      </c>
      <c r="E746" s="92" t="e">
        <f aca="false">$E$518</f>
        <v>#VALUE!</v>
      </c>
      <c r="F746" s="92" t="e">
        <f aca="false">$F$518</f>
        <v>#VALUE!</v>
      </c>
      <c r="G746" s="92" t="e">
        <f aca="false">$G$518</f>
        <v>#VALUE!</v>
      </c>
      <c r="H746" s="252" t="e">
        <f aca="false">IF(G746="","",COUNTIF(G746:$G$771,"&gt;"&amp;G746))</f>
        <v>#VALUE!</v>
      </c>
      <c r="I746" s="92" t="e">
        <f aca="false">IF(G746="","",COUNTIF(G746:$G$771,"&lt;"&amp;G746))</f>
        <v>#VALUE!</v>
      </c>
    </row>
    <row collapsed="false" customFormat="false" customHeight="true" hidden="false" ht="11.4" outlineLevel="0" r="747">
      <c r="B747" s="7" t="n">
        <f aca="false">$B$470</f>
        <v>0</v>
      </c>
      <c r="C747" s="7" t="n">
        <f aca="false">$C$470</f>
        <v>0</v>
      </c>
      <c r="D747" s="92" t="e">
        <f aca="false">$D$470</f>
        <v>#VALUE!</v>
      </c>
      <c r="E747" s="92" t="e">
        <f aca="false">$E$470</f>
        <v>#VALUE!</v>
      </c>
      <c r="F747" s="92" t="e">
        <f aca="false">$F$470</f>
        <v>#VALUE!</v>
      </c>
      <c r="G747" s="92" t="e">
        <f aca="false">$G$470</f>
        <v>#VALUE!</v>
      </c>
      <c r="H747" s="252" t="e">
        <f aca="false">IF(G747="","",COUNTIF(G747:$G$771,"&gt;"&amp;G747))</f>
        <v>#VALUE!</v>
      </c>
      <c r="I747" s="92" t="e">
        <f aca="false">IF(G747="","",COUNTIF(G747:$G$771,"&lt;"&amp;G747))</f>
        <v>#VALUE!</v>
      </c>
    </row>
    <row collapsed="false" customFormat="false" customHeight="true" hidden="false" ht="11.4" outlineLevel="0" r="748">
      <c r="B748" s="7" t="n">
        <f aca="false">$B$494</f>
        <v>0</v>
      </c>
      <c r="C748" s="7" t="n">
        <f aca="false">$C$494</f>
        <v>0</v>
      </c>
      <c r="D748" s="92" t="e">
        <f aca="false">$D$494</f>
        <v>#VALUE!</v>
      </c>
      <c r="E748" s="92" t="e">
        <f aca="false">$E$494</f>
        <v>#VALUE!</v>
      </c>
      <c r="F748" s="92" t="e">
        <f aca="false">$F$494</f>
        <v>#VALUE!</v>
      </c>
      <c r="G748" s="92" t="e">
        <f aca="false">$G$494</f>
        <v>#VALUE!</v>
      </c>
      <c r="H748" s="252" t="e">
        <f aca="false">IF(G748="","",COUNTIF(G748:$G$771,"&gt;"&amp;G748))</f>
        <v>#VALUE!</v>
      </c>
      <c r="I748" s="92" t="e">
        <f aca="false">IF(G748="","",COUNTIF(G748:$G$771,"&lt;"&amp;G748))</f>
        <v>#VALUE!</v>
      </c>
    </row>
    <row collapsed="false" customFormat="false" customHeight="true" hidden="false" ht="11.4" outlineLevel="0" r="749">
      <c r="B749" s="7" t="n">
        <f aca="false">$B$512</f>
        <v>0</v>
      </c>
      <c r="C749" s="7" t="n">
        <f aca="false">$C$512</f>
        <v>0</v>
      </c>
      <c r="D749" s="92" t="e">
        <f aca="false">$D$512</f>
        <v>#VALUE!</v>
      </c>
      <c r="E749" s="92" t="e">
        <f aca="false">$E$512</f>
        <v>#VALUE!</v>
      </c>
      <c r="F749" s="92" t="e">
        <f aca="false">$F$512</f>
        <v>#VALUE!</v>
      </c>
      <c r="G749" s="92" t="e">
        <f aca="false">$G$512</f>
        <v>#VALUE!</v>
      </c>
      <c r="H749" s="252" t="e">
        <f aca="false">IF(G749="","",COUNTIF(G749:$G$771,"&gt;"&amp;G749))</f>
        <v>#VALUE!</v>
      </c>
      <c r="I749" s="92" t="e">
        <f aca="false">IF(G749="","",COUNTIF(G749:$G$771,"&lt;"&amp;G749))</f>
        <v>#VALUE!</v>
      </c>
    </row>
    <row collapsed="false" customFormat="false" customHeight="true" hidden="false" ht="11.4" outlineLevel="0" r="750">
      <c r="B750" s="7" t="n">
        <f aca="false">$B$462</f>
        <v>0</v>
      </c>
      <c r="C750" s="7" t="n">
        <f aca="false">$C$462</f>
        <v>0</v>
      </c>
      <c r="D750" s="92" t="e">
        <f aca="false">$D$462</f>
        <v>#VALUE!</v>
      </c>
      <c r="E750" s="92" t="e">
        <f aca="false">$E$462</f>
        <v>#VALUE!</v>
      </c>
      <c r="F750" s="92" t="e">
        <f aca="false">$G$462</f>
        <v>#VALUE!</v>
      </c>
      <c r="G750" s="252" t="e">
        <f aca="false">IF(E750="","",COUNTIF($E$705:$E$771,"&gt;"&amp;E750))</f>
        <v>#VALUE!</v>
      </c>
      <c r="H750" s="252" t="e">
        <f aca="false">IF(G750="","",COUNTIF(G750:$G$771,"&gt;"&amp;G750))</f>
        <v>#VALUE!</v>
      </c>
      <c r="I750" s="92" t="e">
        <f aca="false">IF(G750="","",COUNTIF(G750:$G$771,"&lt;"&amp;G750))</f>
        <v>#VALUE!</v>
      </c>
    </row>
    <row collapsed="false" customFormat="false" customHeight="true" hidden="false" ht="11.4" outlineLevel="0" r="751">
      <c r="B751" s="7" t="n">
        <f aca="false">$B$463</f>
        <v>0</v>
      </c>
      <c r="C751" s="92" t="n">
        <f aca="false">$C$463</f>
        <v>0</v>
      </c>
      <c r="D751" s="92" t="e">
        <f aca="false">$D$463</f>
        <v>#VALUE!</v>
      </c>
      <c r="E751" s="92" t="e">
        <f aca="false">$E$463</f>
        <v>#VALUE!</v>
      </c>
      <c r="F751" s="92" t="e">
        <f aca="false">$G$463</f>
        <v>#VALUE!</v>
      </c>
      <c r="G751" s="252" t="e">
        <f aca="false">IF(E751="","",COUNTIF($E$705:$E$771,"&gt;"&amp;E751))</f>
        <v>#VALUE!</v>
      </c>
      <c r="H751" s="252" t="e">
        <f aca="false">IF(G751="","",COUNTIF(G751:$G$771,"&gt;"&amp;G751))</f>
        <v>#VALUE!</v>
      </c>
      <c r="I751" s="92" t="e">
        <f aca="false">IF(G751="","",COUNTIF(G751:$G$771,"&lt;"&amp;G751))</f>
        <v>#VALUE!</v>
      </c>
    </row>
    <row collapsed="false" customFormat="false" customHeight="true" hidden="false" ht="11.4" outlineLevel="0" r="752">
      <c r="B752" s="7" t="n">
        <f aca="false">$B$472</f>
        <v>0</v>
      </c>
      <c r="C752" s="7" t="n">
        <f aca="false">$C$472</f>
        <v>0</v>
      </c>
      <c r="D752" s="92" t="e">
        <f aca="false">$D$463</f>
        <v>#VALUE!</v>
      </c>
      <c r="E752" s="92" t="e">
        <f aca="false">$E$463</f>
        <v>#VALUE!</v>
      </c>
      <c r="F752" s="92" t="e">
        <f aca="false">$G$463</f>
        <v>#VALUE!</v>
      </c>
      <c r="G752" s="252" t="e">
        <f aca="false">IF(E752="","",COUNTIF($E$705:$E$771,"&gt;"&amp;E752))</f>
        <v>#VALUE!</v>
      </c>
      <c r="H752" s="252" t="e">
        <f aca="false">IF(G752="","",COUNTIF(G752:$G$771,"&gt;"&amp;G752))</f>
        <v>#VALUE!</v>
      </c>
      <c r="I752" s="92" t="e">
        <f aca="false">IF(G752="","",COUNTIF(G752:$G$771,"&lt;"&amp;G752))</f>
        <v>#VALUE!</v>
      </c>
    </row>
    <row collapsed="false" customFormat="false" customHeight="true" hidden="false" ht="11.4" outlineLevel="0" r="753">
      <c r="B753" s="7" t="n">
        <f aca="false">$B$473</f>
        <v>0</v>
      </c>
      <c r="C753" s="7" t="n">
        <f aca="false">$C$473</f>
        <v>0</v>
      </c>
      <c r="D753" s="92" t="e">
        <f aca="false">$D$473</f>
        <v>#VALUE!</v>
      </c>
      <c r="E753" s="92" t="e">
        <f aca="false">$E$473</f>
        <v>#VALUE!</v>
      </c>
      <c r="F753" s="92" t="e">
        <f aca="false">$G$473</f>
        <v>#VALUE!</v>
      </c>
      <c r="G753" s="252" t="e">
        <f aca="false">IF(E753="","",COUNTIF($E$705:$E$771,"&gt;"&amp;E753))</f>
        <v>#VALUE!</v>
      </c>
      <c r="H753" s="252" t="e">
        <f aca="false">IF(G753="","",COUNTIF(G753:$G$771,"&gt;"&amp;G753))</f>
        <v>#VALUE!</v>
      </c>
      <c r="I753" s="92" t="e">
        <f aca="false">IF(G753="","",COUNTIF(G753:$G$771,"&lt;"&amp;G753))</f>
        <v>#VALUE!</v>
      </c>
    </row>
    <row collapsed="false" customFormat="false" customHeight="true" hidden="false" ht="11.4" outlineLevel="0" r="754">
      <c r="B754" s="7" t="n">
        <f aca="false">$B$474</f>
        <v>0</v>
      </c>
      <c r="C754" s="7" t="n">
        <f aca="false">$C$474</f>
        <v>0</v>
      </c>
      <c r="D754" s="92" t="e">
        <f aca="false">$D$474</f>
        <v>#VALUE!</v>
      </c>
      <c r="E754" s="92" t="e">
        <f aca="false">$E$474</f>
        <v>#VALUE!</v>
      </c>
      <c r="F754" s="92" t="e">
        <f aca="false">$G$474</f>
        <v>#VALUE!</v>
      </c>
      <c r="G754" s="252" t="e">
        <f aca="false">IF(E754="","",COUNTIF($E$705:$E$771,"&gt;"&amp;E754))</f>
        <v>#VALUE!</v>
      </c>
      <c r="H754" s="252" t="e">
        <f aca="false">IF(G754="","",COUNTIF(G754:$G$771,"&gt;"&amp;G754))</f>
        <v>#VALUE!</v>
      </c>
      <c r="I754" s="92" t="e">
        <f aca="false">IF(G754="","",COUNTIF(G754:$G$771,"&lt;"&amp;G754))</f>
        <v>#VALUE!</v>
      </c>
    </row>
    <row collapsed="false" customFormat="false" customHeight="true" hidden="false" ht="11.4" outlineLevel="0" r="755">
      <c r="B755" s="7" t="n">
        <f aca="false">$B$475</f>
        <v>0</v>
      </c>
      <c r="C755" s="7" t="n">
        <f aca="false">$C$475</f>
        <v>0</v>
      </c>
      <c r="D755" s="92" t="e">
        <f aca="false">$D$475</f>
        <v>#VALUE!</v>
      </c>
      <c r="E755" s="92" t="e">
        <f aca="false">$E$475</f>
        <v>#VALUE!</v>
      </c>
      <c r="F755" s="92" t="e">
        <f aca="false">$G$475</f>
        <v>#VALUE!</v>
      </c>
      <c r="G755" s="252" t="e">
        <f aca="false">IF(E755="","",COUNTIF($E$705:$E$771,"&gt;"&amp;E755))</f>
        <v>#VALUE!</v>
      </c>
      <c r="H755" s="252" t="e">
        <f aca="false">IF(G755="","",COUNTIF(G755:$G$771,"&gt;"&amp;G755))</f>
        <v>#VALUE!</v>
      </c>
      <c r="I755" s="92" t="e">
        <f aca="false">IF(G755="","",COUNTIF(G755:$G$771,"&lt;"&amp;G755))</f>
        <v>#VALUE!</v>
      </c>
    </row>
    <row collapsed="false" customFormat="false" customHeight="true" hidden="false" ht="11.4" outlineLevel="0" r="756">
      <c r="B756" s="7" t="n">
        <f aca="false">$B$476</f>
        <v>0</v>
      </c>
      <c r="C756" s="7" t="n">
        <f aca="false">$C$476</f>
        <v>0</v>
      </c>
      <c r="D756" s="92" t="e">
        <f aca="false">$D$476</f>
        <v>#VALUE!</v>
      </c>
      <c r="E756" s="92" t="e">
        <f aca="false">$E$476</f>
        <v>#VALUE!</v>
      </c>
      <c r="F756" s="92" t="e">
        <f aca="false">$G$476</f>
        <v>#VALUE!</v>
      </c>
      <c r="G756" s="252" t="e">
        <f aca="false">IF(E756="","",COUNTIF($E$705:$E$771,"&gt;"&amp;E756))</f>
        <v>#VALUE!</v>
      </c>
      <c r="H756" s="252" t="e">
        <f aca="false">IF(G756="","",COUNTIF(G756:$G$771,"&gt;"&amp;G756))</f>
        <v>#VALUE!</v>
      </c>
      <c r="I756" s="92" t="e">
        <f aca="false">IF(G756="","",COUNTIF(G756:$G$771,"&lt;"&amp;G756))</f>
        <v>#VALUE!</v>
      </c>
    </row>
    <row collapsed="false" customFormat="false" customHeight="true" hidden="false" ht="11.4" outlineLevel="0" r="757">
      <c r="B757" s="7" t="n">
        <f aca="false">$B$477</f>
        <v>0</v>
      </c>
      <c r="C757" s="7" t="n">
        <f aca="false">$C$477</f>
        <v>0</v>
      </c>
      <c r="D757" s="92" t="e">
        <f aca="false">$D$477</f>
        <v>#VALUE!</v>
      </c>
      <c r="E757" s="92" t="e">
        <f aca="false">$E$477</f>
        <v>#VALUE!</v>
      </c>
      <c r="F757" s="92" t="e">
        <f aca="false">$G$477</f>
        <v>#VALUE!</v>
      </c>
      <c r="G757" s="252" t="e">
        <f aca="false">IF(E757="","",COUNTIF($E$705:$E$771,"&gt;"&amp;E757))</f>
        <v>#VALUE!</v>
      </c>
      <c r="H757" s="252" t="e">
        <f aca="false">IF(G757="","",COUNTIF(G757:$G$771,"&gt;"&amp;G757))</f>
        <v>#VALUE!</v>
      </c>
      <c r="I757" s="92" t="e">
        <f aca="false">IF(G757="","",COUNTIF(G757:$G$771,"&lt;"&amp;G757))</f>
        <v>#VALUE!</v>
      </c>
    </row>
    <row collapsed="false" customFormat="false" customHeight="true" hidden="false" ht="11.4" outlineLevel="0" r="758">
      <c r="B758" s="7" t="n">
        <f aca="false">$B$478</f>
        <v>0</v>
      </c>
      <c r="C758" s="7" t="n">
        <f aca="false">$C$478</f>
        <v>0</v>
      </c>
      <c r="D758" s="92" t="e">
        <f aca="false">$D$478</f>
        <v>#VALUE!</v>
      </c>
      <c r="E758" s="92" t="e">
        <f aca="false">$E$478</f>
        <v>#VALUE!</v>
      </c>
      <c r="F758" s="92" t="e">
        <f aca="false">$G$478</f>
        <v>#VALUE!</v>
      </c>
      <c r="G758" s="252" t="e">
        <f aca="false">IF(E758="","",COUNTIF($E$705:$E$771,"&gt;"&amp;E758))</f>
        <v>#VALUE!</v>
      </c>
      <c r="H758" s="252" t="e">
        <f aca="false">IF(G758="","",COUNTIF(G758:$G$771,"&gt;"&amp;G758))</f>
        <v>#VALUE!</v>
      </c>
      <c r="I758" s="92" t="e">
        <f aca="false">IF(G758="","",COUNTIF(G758:$G$771,"&lt;"&amp;G758))</f>
        <v>#VALUE!</v>
      </c>
    </row>
    <row collapsed="false" customFormat="false" customHeight="true" hidden="false" ht="11.4" outlineLevel="0" r="759">
      <c r="B759" s="7" t="n">
        <f aca="false">$B$479</f>
        <v>0</v>
      </c>
      <c r="C759" s="7" t="n">
        <f aca="false">$C$479</f>
        <v>0</v>
      </c>
      <c r="D759" s="92" t="e">
        <f aca="false">$D$479</f>
        <v>#VALUE!</v>
      </c>
      <c r="E759" s="92" t="e">
        <f aca="false">$E$479</f>
        <v>#VALUE!</v>
      </c>
      <c r="F759" s="92" t="e">
        <f aca="false">$G$479</f>
        <v>#VALUE!</v>
      </c>
      <c r="G759" s="252" t="e">
        <f aca="false">IF(E759="","",COUNTIF($E$705:$E$771,"&gt;"&amp;E759))</f>
        <v>#VALUE!</v>
      </c>
      <c r="H759" s="252" t="e">
        <f aca="false">IF(G759="","",COUNTIF(G759:$G$771,"&gt;"&amp;G759))</f>
        <v>#VALUE!</v>
      </c>
      <c r="I759" s="92" t="e">
        <f aca="false">IF(G759="","",COUNTIF(G759:$G$771,"&lt;"&amp;G759))</f>
        <v>#VALUE!</v>
      </c>
    </row>
    <row collapsed="false" customFormat="false" customHeight="true" hidden="false" ht="11.4" outlineLevel="0" r="760">
      <c r="B760" s="7" t="n">
        <f aca="false">$B$488</f>
        <v>0</v>
      </c>
      <c r="C760" s="7" t="n">
        <f aca="false">C516</f>
        <v>0</v>
      </c>
      <c r="D760" s="92" t="e">
        <f aca="false">$D$488</f>
        <v>#VALUE!</v>
      </c>
      <c r="E760" s="92" t="e">
        <f aca="false">$E$488</f>
        <v>#VALUE!</v>
      </c>
      <c r="F760" s="92" t="e">
        <f aca="false">$G$488</f>
        <v>#VALUE!</v>
      </c>
      <c r="G760" s="252" t="e">
        <f aca="false">IF(E760="","",COUNTIF($E$705:$E$771,"&gt;"&amp;E760))</f>
        <v>#VALUE!</v>
      </c>
      <c r="H760" s="252" t="e">
        <f aca="false">IF(G760="","",COUNTIF(G760:$G$771,"&gt;"&amp;G760))</f>
        <v>#VALUE!</v>
      </c>
      <c r="I760" s="92" t="e">
        <f aca="false">IF(G760="","",COUNTIF(G760:$G$771,"&lt;"&amp;G760))</f>
        <v>#VALUE!</v>
      </c>
    </row>
    <row collapsed="false" customFormat="false" customHeight="true" hidden="false" ht="11.4" outlineLevel="0" r="761">
      <c r="B761" s="7"/>
      <c r="C761" s="7" t="n">
        <f aca="false">$C$490</f>
        <v>0</v>
      </c>
      <c r="D761" s="92" t="str">
        <f aca="false">$D$490</f>
        <v/>
      </c>
      <c r="E761" s="92" t="str">
        <f aca="false">$E$490</f>
        <v/>
      </c>
      <c r="F761" s="92" t="str">
        <f aca="false">$G$490</f>
        <v/>
      </c>
      <c r="G761" s="252" t="str">
        <f aca="false">IF(E761="","",COUNTIF($E$705:$E$771,"&gt;"&amp;E761))</f>
        <v/>
      </c>
      <c r="H761" s="252" t="str">
        <f aca="false">IF(G761="","",COUNTIF(G761:$G$771,"&gt;"&amp;G761))</f>
        <v/>
      </c>
      <c r="I761" s="92" t="str">
        <f aca="false">IF(G761="","",COUNTIF(G761:$G$771,"&lt;"&amp;G761))</f>
        <v/>
      </c>
    </row>
    <row collapsed="false" customFormat="false" customHeight="true" hidden="false" ht="11.4" outlineLevel="0" r="762">
      <c r="B762" s="7"/>
      <c r="C762" s="7" t="n">
        <f aca="false">$C$495</f>
        <v>0</v>
      </c>
      <c r="D762" s="92" t="e">
        <f aca="false">$D$495</f>
        <v>#VALUE!</v>
      </c>
      <c r="E762" s="92" t="e">
        <f aca="false">$E$495</f>
        <v>#VALUE!</v>
      </c>
      <c r="F762" s="92" t="e">
        <f aca="false">$G$495</f>
        <v>#VALUE!</v>
      </c>
      <c r="G762" s="252" t="e">
        <f aca="false">IF(E762="","",COUNTIF($E$705:$E$771,"&gt;"&amp;E762))</f>
        <v>#VALUE!</v>
      </c>
      <c r="H762" s="252" t="e">
        <f aca="false">IF(G762="","",COUNTIF(G762:$G$771,"&gt;"&amp;G762))</f>
        <v>#VALUE!</v>
      </c>
      <c r="I762" s="92" t="e">
        <f aca="false">IF(G762="","",COUNTIF(G762:$G$771,"&lt;"&amp;G762))</f>
        <v>#VALUE!</v>
      </c>
    </row>
    <row collapsed="false" customFormat="false" customHeight="true" hidden="false" ht="11.4" outlineLevel="0" r="763">
      <c r="B763" s="7"/>
      <c r="C763" s="7" t="n">
        <f aca="false">$C$498</f>
        <v>0</v>
      </c>
      <c r="D763" s="92" t="e">
        <f aca="false">$D$498</f>
        <v>#VALUE!</v>
      </c>
      <c r="E763" s="92" t="e">
        <f aca="false">$E$498</f>
        <v>#VALUE!</v>
      </c>
      <c r="F763" s="92" t="e">
        <f aca="false">$G$498</f>
        <v>#VALUE!</v>
      </c>
      <c r="G763" s="252" t="e">
        <f aca="false">IF(E763="","",COUNTIF($E$705:$E$771,"&gt;"&amp;E763))</f>
        <v>#VALUE!</v>
      </c>
      <c r="H763" s="252" t="e">
        <f aca="false">IF(G763="","",COUNTIF(G763:$G$771,"&gt;"&amp;G763))</f>
        <v>#VALUE!</v>
      </c>
      <c r="I763" s="92" t="e">
        <f aca="false">IF(G763="","",COUNTIF(G763:$G$771,"&lt;"&amp;G763))</f>
        <v>#VALUE!</v>
      </c>
    </row>
    <row collapsed="false" customFormat="false" customHeight="true" hidden="false" ht="11.4" outlineLevel="0" r="764">
      <c r="B764" s="7"/>
      <c r="C764" s="7" t="n">
        <f aca="false">$C$501</f>
        <v>0</v>
      </c>
      <c r="D764" s="92" t="e">
        <f aca="false">$D$501</f>
        <v>#VALUE!</v>
      </c>
      <c r="E764" s="92" t="e">
        <f aca="false">$E$501</f>
        <v>#VALUE!</v>
      </c>
      <c r="F764" s="92" t="e">
        <f aca="false">$G$501</f>
        <v>#VALUE!</v>
      </c>
      <c r="G764" s="252" t="e">
        <f aca="false">IF(E764="","",COUNTIF($E$705:$E$771,"&gt;"&amp;E764))</f>
        <v>#VALUE!</v>
      </c>
      <c r="H764" s="252" t="e">
        <f aca="false">IF(G764="","",COUNTIF(G764:$G$771,"&gt;"&amp;G764))</f>
        <v>#VALUE!</v>
      </c>
      <c r="I764" s="92" t="e">
        <f aca="false">IF(G764="","",COUNTIF(G764:$G$771,"&lt;"&amp;G764))</f>
        <v>#VALUE!</v>
      </c>
    </row>
    <row collapsed="false" customFormat="false" customHeight="true" hidden="false" ht="11.4" outlineLevel="0" r="765">
      <c r="B765" s="7" t="n">
        <f aca="false">$B$502</f>
        <v>0</v>
      </c>
      <c r="C765" s="7" t="n">
        <f aca="false">$C$502</f>
        <v>0</v>
      </c>
      <c r="D765" s="92" t="e">
        <f aca="false">$D$502</f>
        <v>#VALUE!</v>
      </c>
      <c r="E765" s="92" t="e">
        <f aca="false">$E$502</f>
        <v>#VALUE!</v>
      </c>
      <c r="F765" s="92" t="e">
        <f aca="false">$G$502</f>
        <v>#VALUE!</v>
      </c>
      <c r="G765" s="252" t="e">
        <f aca="false">IF(E765="","",COUNTIF($E$705:$E$771,"&gt;"&amp;E765))</f>
        <v>#VALUE!</v>
      </c>
      <c r="H765" s="252" t="e">
        <f aca="false">IF(G765="","",COUNTIF(G765:$G$771,"&gt;"&amp;G765))</f>
        <v>#VALUE!</v>
      </c>
      <c r="I765" s="92" t="e">
        <f aca="false">IF(G765="","",COUNTIF(G765:$G$771,"&lt;"&amp;G765))</f>
        <v>#VALUE!</v>
      </c>
    </row>
    <row collapsed="false" customFormat="false" customHeight="true" hidden="false" ht="11.4" outlineLevel="0" r="766">
      <c r="B766" s="7" t="n">
        <f aca="false">$B$507</f>
        <v>0</v>
      </c>
      <c r="C766" s="7" t="n">
        <f aca="false">$C$507</f>
        <v>0</v>
      </c>
      <c r="D766" s="92" t="e">
        <f aca="false">$D$507</f>
        <v>#VALUE!</v>
      </c>
      <c r="E766" s="92" t="e">
        <f aca="false">$E$507</f>
        <v>#VALUE!</v>
      </c>
      <c r="F766" s="92" t="e">
        <f aca="false">$G$507</f>
        <v>#VALUE!</v>
      </c>
      <c r="G766" s="252" t="e">
        <f aca="false">IF(E766="","",COUNTIF($E$705:$E$771,"&gt;"&amp;E766))</f>
        <v>#VALUE!</v>
      </c>
      <c r="H766" s="252" t="e">
        <f aca="false">IF(G766="","",COUNTIF(G766:$G$771,"&gt;"&amp;G766))</f>
        <v>#VALUE!</v>
      </c>
      <c r="I766" s="92" t="e">
        <f aca="false">IF(G766="","",COUNTIF(G766:$G$771,"&lt;"&amp;G766))</f>
        <v>#VALUE!</v>
      </c>
    </row>
    <row collapsed="false" customFormat="false" customHeight="true" hidden="false" ht="11.4" outlineLevel="0" r="767">
      <c r="B767" s="7" t="n">
        <f aca="false">$B$511</f>
        <v>0</v>
      </c>
      <c r="C767" s="7" t="n">
        <f aca="false">$C$511</f>
        <v>0</v>
      </c>
      <c r="D767" s="92" t="str">
        <f aca="false">$D$511</f>
        <v/>
      </c>
      <c r="E767" s="92" t="str">
        <f aca="false">$E$511</f>
        <v/>
      </c>
      <c r="F767" s="92" t="str">
        <f aca="false">$G$511</f>
        <v/>
      </c>
      <c r="G767" s="252" t="str">
        <f aca="false">IF(E767="","",COUNTIF($E$705:$E$771,"&gt;"&amp;E767))</f>
        <v/>
      </c>
      <c r="H767" s="252" t="str">
        <f aca="false">IF(G767="","",COUNTIF(G767:$G$771,"&gt;"&amp;G767))</f>
        <v/>
      </c>
      <c r="I767" s="92" t="str">
        <f aca="false">IF(G767="","",COUNTIF(G767:$G$771,"&lt;"&amp;G767))</f>
        <v/>
      </c>
    </row>
    <row collapsed="false" customFormat="false" customHeight="true" hidden="false" ht="11.4" outlineLevel="0" r="768">
      <c r="B768" s="7" t="n">
        <f aca="false">$B$520</f>
        <v>0</v>
      </c>
      <c r="C768" s="7" t="n">
        <f aca="false">$C$520</f>
        <v>0</v>
      </c>
      <c r="D768" s="92" t="e">
        <f aca="false">$D$520</f>
        <v>#VALUE!</v>
      </c>
      <c r="E768" s="92" t="e">
        <f aca="false">$E$520</f>
        <v>#VALUE!</v>
      </c>
      <c r="F768" s="92" t="e">
        <f aca="false">$G$520</f>
        <v>#VALUE!</v>
      </c>
      <c r="G768" s="252" t="e">
        <f aca="false">IF(E768="","",COUNTIF($E$705:$E$771,"&gt;"&amp;E768))</f>
        <v>#VALUE!</v>
      </c>
      <c r="H768" s="252" t="e">
        <f aca="false">IF(G768="","",COUNTIF(G768:$G$771,"&gt;"&amp;G768))</f>
        <v>#VALUE!</v>
      </c>
      <c r="I768" s="92" t="e">
        <f aca="false">IF(G768="","",COUNTIF(G768:$G$771,"&lt;"&amp;G768))</f>
        <v>#VALUE!</v>
      </c>
    </row>
    <row collapsed="false" customFormat="false" customHeight="true" hidden="false" ht="11.4" outlineLevel="0" r="769">
      <c r="B769" s="7" t="n">
        <f aca="false">$B$523</f>
        <v>0</v>
      </c>
      <c r="C769" s="7" t="n">
        <f aca="false">$C$523</f>
        <v>0</v>
      </c>
      <c r="D769" s="92" t="e">
        <f aca="false">$D$523</f>
        <v>#VALUE!</v>
      </c>
      <c r="E769" s="92" t="e">
        <f aca="false">$E$523</f>
        <v>#VALUE!</v>
      </c>
      <c r="F769" s="92" t="e">
        <f aca="false">$G$523</f>
        <v>#VALUE!</v>
      </c>
      <c r="G769" s="252" t="e">
        <f aca="false">IF(E769="","",COUNTIF($E$705:$E$771,"&gt;"&amp;E769))</f>
        <v>#VALUE!</v>
      </c>
      <c r="H769" s="252" t="e">
        <f aca="false">IF(G769="","",COUNTIF(G769:$G$771,"&gt;"&amp;G769))</f>
        <v>#VALUE!</v>
      </c>
      <c r="I769" s="92" t="e">
        <f aca="false">IF(G769="","",COUNTIF(G769:$G$771,"&lt;"&amp;G769))</f>
        <v>#VALUE!</v>
      </c>
    </row>
    <row collapsed="false" customFormat="false" customHeight="true" hidden="false" ht="11.4" outlineLevel="0" r="770">
      <c r="B770" s="7" t="n">
        <f aca="false">$B$526</f>
        <v>0</v>
      </c>
      <c r="C770" s="7" t="n">
        <f aca="false">$C$526</f>
        <v>0</v>
      </c>
      <c r="D770" s="92" t="e">
        <f aca="false">$D$526</f>
        <v>#VALUE!</v>
      </c>
      <c r="E770" s="92" t="e">
        <f aca="false">$E$526</f>
        <v>#VALUE!</v>
      </c>
      <c r="F770" s="92" t="e">
        <f aca="false">$G$526</f>
        <v>#VALUE!</v>
      </c>
      <c r="G770" s="252" t="e">
        <f aca="false">IF(E770="","",COUNTIF($E$705:$E$771,"&gt;"&amp;E770))</f>
        <v>#VALUE!</v>
      </c>
      <c r="H770" s="252" t="e">
        <f aca="false">IF(G770="","",COUNTIF(G770:$G$771,"&gt;"&amp;G770))</f>
        <v>#VALUE!</v>
      </c>
      <c r="I770" s="92" t="e">
        <f aca="false">IF(G770="","",COUNTIF(G770:$G$771,"&lt;"&amp;G770))</f>
        <v>#VALUE!</v>
      </c>
      <c r="J770" s="41"/>
    </row>
    <row collapsed="false" customFormat="false" customHeight="true" hidden="false" ht="11.4" outlineLevel="0" r="771">
      <c r="B771" s="7" t="n">
        <f aca="false">$B$527</f>
        <v>0</v>
      </c>
      <c r="C771" s="7" t="n">
        <f aca="false">$C$527</f>
        <v>0</v>
      </c>
      <c r="D771" s="92" t="e">
        <f aca="false">$D$527</f>
        <v>#VALUE!</v>
      </c>
      <c r="E771" s="92" t="e">
        <f aca="false">$E$527</f>
        <v>#VALUE!</v>
      </c>
      <c r="F771" s="92" t="e">
        <f aca="false">$G$527</f>
        <v>#VALUE!</v>
      </c>
      <c r="G771" s="252" t="e">
        <f aca="false">IF(E771="","",COUNTIF($E$705:$E$771,"&gt;"&amp;E771))</f>
        <v>#VALUE!</v>
      </c>
      <c r="H771" s="252" t="e">
        <f aca="false">IF(G771="","",COUNTIF(G771:$G$771,"&gt;"&amp;G771))</f>
        <v>#VALUE!</v>
      </c>
      <c r="I771" s="92" t="e">
        <f aca="false">IF(G771="","",COUNTIF(G771:$G$771,"&lt;"&amp;G771))</f>
        <v>#VALUE!</v>
      </c>
      <c r="J771" s="41"/>
    </row>
    <row collapsed="false" customFormat="false" customHeight="true" hidden="false" ht="11.4" outlineLevel="0" r="772">
      <c r="B772" s="2"/>
      <c r="C772" s="2"/>
      <c r="E772" s="162" t="s">
        <v>131</v>
      </c>
      <c r="F772" s="162" t="e">
        <f aca="false">SUM(F705:F771)</f>
        <v>#VALUE!</v>
      </c>
      <c r="G772" s="162" t="e">
        <f aca="false">SUM(G705:G771)</f>
        <v>#VALUE!</v>
      </c>
      <c r="H772" s="162" t="e">
        <f aca="false">SUM(H705:H771)</f>
        <v>#VALUE!</v>
      </c>
      <c r="I772" s="162" t="e">
        <f aca="false">SUM(I705:I771)</f>
        <v>#VALUE!</v>
      </c>
      <c r="J772" s="2"/>
    </row>
    <row collapsed="false" customFormat="false" customHeight="true" hidden="false" ht="11.4" outlineLevel="0" r="773">
      <c r="B773" s="2"/>
      <c r="C773" s="61"/>
      <c r="D773" s="41"/>
      <c r="E773" s="41"/>
      <c r="F773" s="41"/>
      <c r="G773" s="41"/>
      <c r="H773" s="41"/>
      <c r="I773" s="41"/>
      <c r="J773" s="41"/>
    </row>
    <row collapsed="false" customFormat="false" customHeight="true" hidden="false" ht="11.4" outlineLevel="0" r="774">
      <c r="B774" s="2"/>
      <c r="C774" s="61"/>
      <c r="D774" s="2"/>
      <c r="E774" s="2"/>
      <c r="F774" s="2"/>
      <c r="G774" s="2"/>
      <c r="H774" s="2"/>
      <c r="I774" s="2"/>
    </row>
    <row collapsed="false" customFormat="false" customHeight="true" hidden="false" ht="11.4" outlineLevel="0" r="775">
      <c r="B775" s="2"/>
      <c r="C775" s="61"/>
    </row>
    <row collapsed="false" customFormat="false" customHeight="true" hidden="false" ht="11.4" outlineLevel="0" r="776">
      <c r="B776" s="2"/>
      <c r="C776" s="61"/>
      <c r="D776" s="61"/>
      <c r="E776" s="61"/>
      <c r="F776" s="61"/>
      <c r="G776" s="174" t="s">
        <v>64</v>
      </c>
      <c r="H776" s="52" t="n">
        <f aca="false">E451</f>
        <v>0</v>
      </c>
    </row>
    <row collapsed="false" customFormat="false" customHeight="true" hidden="false" ht="11.4" outlineLevel="0" r="777">
      <c r="B777" s="2"/>
      <c r="C777" s="61"/>
      <c r="D777" s="61"/>
      <c r="E777" s="61"/>
      <c r="F777" s="61"/>
    </row>
    <row collapsed="false" customFormat="false" customHeight="true" hidden="false" ht="11.4" outlineLevel="0" r="778">
      <c r="B778" s="2" t="s">
        <v>225</v>
      </c>
      <c r="C778" s="61"/>
      <c r="G778" s="0" t="s">
        <v>226</v>
      </c>
      <c r="H778" s="59" t="e">
        <f aca="false">H772-I772</f>
        <v>#VALUE!</v>
      </c>
      <c r="J778" s="174"/>
    </row>
    <row collapsed="false" customFormat="false" customHeight="true" hidden="false" ht="11.4" outlineLevel="0" r="779">
      <c r="J779" s="61"/>
    </row>
    <row collapsed="false" customFormat="false" customHeight="true" hidden="false" ht="11.4" outlineLevel="0" r="780">
      <c r="B780" s="2" t="s">
        <v>227</v>
      </c>
      <c r="C780" s="61"/>
      <c r="G780" s="0" t="s">
        <v>228</v>
      </c>
      <c r="H780" s="52" t="e">
        <f aca="false">2*H778/(H776*(H776-1))</f>
        <v>#VALUE!</v>
      </c>
      <c r="I780" s="0" t="s">
        <v>229</v>
      </c>
      <c r="J780" s="61"/>
    </row>
    <row collapsed="false" customFormat="false" customHeight="true" hidden="false" ht="11.4" outlineLevel="0" r="781">
      <c r="B781" s="2" t="s">
        <v>230</v>
      </c>
      <c r="C781" s="61"/>
    </row>
    <row collapsed="false" customFormat="false" customHeight="true" hidden="false" ht="11.4" outlineLevel="0" r="782">
      <c r="B782" s="2"/>
      <c r="C782" s="61"/>
      <c r="G782" s="0" t="s">
        <v>85</v>
      </c>
      <c r="H782" s="52" t="e">
        <f aca="false">ABS(H780)/SQRT(((2*(2*H776+5)))/(9*H776*(H776-1)))</f>
        <v>#VALUE!</v>
      </c>
    </row>
    <row collapsed="false" customFormat="false" customHeight="true" hidden="false" ht="11.4" outlineLevel="0" r="783">
      <c r="B783" s="2"/>
      <c r="C783" s="61"/>
    </row>
    <row collapsed="false" customFormat="false" customHeight="true" hidden="false" ht="11.4" outlineLevel="0" r="784">
      <c r="B784" s="2"/>
      <c r="C784" s="61"/>
    </row>
    <row collapsed="false" customFormat="false" customHeight="true" hidden="false" ht="11.4" outlineLevel="0" r="785">
      <c r="B785" s="2"/>
      <c r="C785" s="61"/>
      <c r="G785" s="174"/>
    </row>
    <row collapsed="false" customFormat="false" customHeight="true" hidden="false" ht="11.4" outlineLevel="0" r="786">
      <c r="B786" s="2"/>
      <c r="C786" s="61"/>
    </row>
    <row collapsed="false" customFormat="false" customHeight="true" hidden="false" ht="11.4" outlineLevel="0" r="787">
      <c r="B787" s="2"/>
      <c r="C787" s="61"/>
    </row>
    <row collapsed="false" customFormat="false" customHeight="true" hidden="false" ht="11.4" outlineLevel="0" r="788">
      <c r="B788" s="2"/>
      <c r="C788" s="61"/>
    </row>
    <row collapsed="false" customFormat="false" customHeight="true" hidden="false" ht="11.4" outlineLevel="0" r="789">
      <c r="B789" s="2"/>
      <c r="C789" s="61"/>
    </row>
    <row collapsed="false" customFormat="false" customHeight="true" hidden="false" ht="11.4" outlineLevel="0" r="790">
      <c r="B790" s="157"/>
      <c r="C790" s="157"/>
      <c r="D790" s="47" t="str">
        <f aca="false">I380</f>
        <v>Patient</v>
      </c>
      <c r="E790" s="47" t="str">
        <f aca="false">J380</f>
        <v>Therapeut</v>
      </c>
      <c r="F790" s="47"/>
      <c r="G790" s="47"/>
      <c r="H790" s="251" t="s">
        <v>223</v>
      </c>
      <c r="I790" s="251" t="s">
        <v>224</v>
      </c>
    </row>
    <row collapsed="false" customFormat="false" customHeight="true" hidden="false" ht="11.4" outlineLevel="0" r="791">
      <c r="B791" s="157"/>
      <c r="C791" s="157"/>
      <c r="D791" s="162" t="e">
        <f aca="false">$I$389</f>
        <v>#VALUE!</v>
      </c>
      <c r="E791" s="162" t="e">
        <f aca="false">$J$389</f>
        <v>#VALUE!</v>
      </c>
      <c r="F791" s="223" t="e">
        <f aca="false">$F$547</f>
        <v>#VALUE!</v>
      </c>
      <c r="G791" s="223" t="e">
        <f aca="false">$G$547</f>
        <v>#VALUE!</v>
      </c>
      <c r="H791" s="252" t="e">
        <f aca="false">IF(G791="","",COUNTIF(G791:$G$806,"&gt;"&amp;G791))</f>
        <v>#VALUE!</v>
      </c>
      <c r="I791" s="92" t="e">
        <f aca="false">IF(G791="","",COUNTIF(G791:$G$806,"&lt;"&amp;G791))</f>
        <v>#VALUE!</v>
      </c>
      <c r="J791" s="61"/>
    </row>
    <row collapsed="false" customFormat="false" customHeight="true" hidden="false" ht="11.4" outlineLevel="0" r="792">
      <c r="B792" s="157"/>
      <c r="C792" s="157"/>
      <c r="D792" s="47" t="e">
        <f aca="false">$I$396</f>
        <v>#VALUE!</v>
      </c>
      <c r="E792" s="47" t="e">
        <f aca="false">$J$396</f>
        <v>#VALUE!</v>
      </c>
      <c r="F792" s="223" t="e">
        <f aca="false">$F$554</f>
        <v>#VALUE!</v>
      </c>
      <c r="G792" s="223" t="e">
        <f aca="false">$G$554</f>
        <v>#VALUE!</v>
      </c>
      <c r="H792" s="252" t="e">
        <f aca="false">IF(G792="","",COUNTIF(G792:$G$806,"&gt;"&amp;G792))</f>
        <v>#VALUE!</v>
      </c>
      <c r="I792" s="92" t="e">
        <f aca="false">IF(G792="","",COUNTIF(G792:$G$806,"&lt;"&amp;G792))</f>
        <v>#VALUE!</v>
      </c>
      <c r="J792" s="61"/>
    </row>
    <row collapsed="false" customFormat="false" customHeight="true" hidden="false" ht="11.4" outlineLevel="0" r="793">
      <c r="B793" s="157"/>
      <c r="C793" s="157"/>
      <c r="D793" s="47" t="e">
        <f aca="false">$I$382</f>
        <v>#VALUE!</v>
      </c>
      <c r="E793" s="47" t="e">
        <f aca="false">$J$382</f>
        <v>#VALUE!</v>
      </c>
      <c r="F793" s="223" t="e">
        <f aca="false">$F$540</f>
        <v>#VALUE!</v>
      </c>
      <c r="G793" s="223" t="e">
        <f aca="false">$G$540</f>
        <v>#VALUE!</v>
      </c>
      <c r="H793" s="252" t="e">
        <f aca="false">IF(G793="","",COUNTIF(G793:$G$806,"&gt;"&amp;G793))</f>
        <v>#VALUE!</v>
      </c>
      <c r="I793" s="92" t="e">
        <f aca="false">IF(G793="","",COUNTIF(G793:$G$806,"&lt;"&amp;G793))</f>
        <v>#VALUE!</v>
      </c>
      <c r="J793" s="61"/>
    </row>
    <row collapsed="false" customFormat="false" customHeight="true" hidden="false" ht="11.4" outlineLevel="0" r="794">
      <c r="B794" s="157"/>
      <c r="C794" s="157"/>
      <c r="D794" s="162" t="e">
        <f aca="false">$I$385</f>
        <v>#VALUE!</v>
      </c>
      <c r="E794" s="162" t="e">
        <f aca="false">$J$385</f>
        <v>#VALUE!</v>
      </c>
      <c r="F794" s="223" t="e">
        <f aca="false">$F$543</f>
        <v>#VALUE!</v>
      </c>
      <c r="G794" s="223" t="e">
        <f aca="false">$G$543</f>
        <v>#VALUE!</v>
      </c>
      <c r="H794" s="252" t="e">
        <f aca="false">IF(G794="","",COUNTIF(G794:$G$806,"&gt;"&amp;G794))</f>
        <v>#VALUE!</v>
      </c>
      <c r="I794" s="92" t="e">
        <f aca="false">IF(G794="","",COUNTIF(G794:$G$806,"&lt;"&amp;G794))</f>
        <v>#VALUE!</v>
      </c>
      <c r="J794" s="61"/>
    </row>
    <row collapsed="false" customFormat="false" customHeight="true" hidden="false" ht="11.4" outlineLevel="0" r="795">
      <c r="B795" s="157"/>
      <c r="C795" s="157"/>
      <c r="D795" s="47" t="e">
        <f aca="false">$I$386</f>
        <v>#VALUE!</v>
      </c>
      <c r="E795" s="47" t="e">
        <f aca="false">$J$386</f>
        <v>#VALUE!</v>
      </c>
      <c r="F795" s="223" t="e">
        <f aca="false">$F$544</f>
        <v>#VALUE!</v>
      </c>
      <c r="G795" s="223" t="e">
        <f aca="false">$G$544</f>
        <v>#VALUE!</v>
      </c>
      <c r="H795" s="252" t="e">
        <f aca="false">IF(G795="","",COUNTIF(G795:$G$806,"&gt;"&amp;G795))</f>
        <v>#VALUE!</v>
      </c>
      <c r="I795" s="92" t="e">
        <f aca="false">IF(G795="","",COUNTIF(G795:$G$806,"&lt;"&amp;G795))</f>
        <v>#VALUE!</v>
      </c>
      <c r="J795" s="61"/>
    </row>
    <row collapsed="false" customFormat="false" customHeight="true" hidden="false" ht="11.4" outlineLevel="0" r="796">
      <c r="B796" s="157"/>
      <c r="C796" s="157"/>
      <c r="D796" s="47" t="e">
        <f aca="false">$I$393</f>
        <v>#VALUE!</v>
      </c>
      <c r="E796" s="47" t="e">
        <f aca="false">$J$393</f>
        <v>#VALUE!</v>
      </c>
      <c r="F796" s="223" t="e">
        <f aca="false">$F$551</f>
        <v>#VALUE!</v>
      </c>
      <c r="G796" s="223" t="e">
        <f aca="false">$G$551</f>
        <v>#VALUE!</v>
      </c>
      <c r="H796" s="252" t="e">
        <f aca="false">IF(G796="","",COUNTIF(G796:$G$806,"&gt;"&amp;G796))</f>
        <v>#VALUE!</v>
      </c>
      <c r="I796" s="92" t="e">
        <f aca="false">IF(G796="","",COUNTIF(G796:$G$806,"&lt;"&amp;G796))</f>
        <v>#VALUE!</v>
      </c>
      <c r="J796" s="61"/>
    </row>
    <row collapsed="false" customFormat="false" customHeight="true" hidden="false" ht="11.4" outlineLevel="0" r="797">
      <c r="B797" s="157"/>
      <c r="C797" s="157"/>
      <c r="D797" s="47" t="e">
        <f aca="false">$I$394</f>
        <v>#VALUE!</v>
      </c>
      <c r="E797" s="47" t="e">
        <f aca="false">$J$394</f>
        <v>#VALUE!</v>
      </c>
      <c r="F797" s="223" t="e">
        <f aca="false">$F$552</f>
        <v>#VALUE!</v>
      </c>
      <c r="G797" s="223" t="e">
        <f aca="false">$G$552</f>
        <v>#VALUE!</v>
      </c>
      <c r="H797" s="252" t="e">
        <f aca="false">IF(G797="","",COUNTIF(G797:$G$806,"&gt;"&amp;G797))</f>
        <v>#VALUE!</v>
      </c>
      <c r="I797" s="92" t="e">
        <f aca="false">IF(G797="","",COUNTIF(G797:$G$806,"&lt;"&amp;G797))</f>
        <v>#VALUE!</v>
      </c>
      <c r="J797" s="61"/>
    </row>
    <row collapsed="false" customFormat="false" customHeight="true" hidden="false" ht="11.4" outlineLevel="0" r="798">
      <c r="B798" s="157"/>
      <c r="C798" s="157"/>
      <c r="D798" s="47" t="e">
        <f aca="false">$I$388</f>
        <v>#VALUE!</v>
      </c>
      <c r="E798" s="47" t="e">
        <f aca="false">$J$388</f>
        <v>#VALUE!</v>
      </c>
      <c r="F798" s="223" t="e">
        <f aca="false">$F$546</f>
        <v>#VALUE!</v>
      </c>
      <c r="G798" s="223" t="e">
        <f aca="false">$G$546</f>
        <v>#VALUE!</v>
      </c>
      <c r="H798" s="252" t="e">
        <f aca="false">IF(G798="","",COUNTIF(G798:$G$806,"&gt;"&amp;G798))</f>
        <v>#VALUE!</v>
      </c>
      <c r="I798" s="92" t="e">
        <f aca="false">IF(G798="","",COUNTIF(G798:$G$806,"&lt;"&amp;G798))</f>
        <v>#VALUE!</v>
      </c>
      <c r="J798" s="61"/>
    </row>
    <row collapsed="false" customFormat="false" customHeight="true" hidden="false" ht="11.4" outlineLevel="0" r="799">
      <c r="B799" s="157"/>
      <c r="C799" s="157"/>
      <c r="D799" s="162" t="e">
        <f aca="false">$I$387</f>
        <v>#VALUE!</v>
      </c>
      <c r="E799" s="162" t="e">
        <f aca="false">$J$387</f>
        <v>#VALUE!</v>
      </c>
      <c r="F799" s="223" t="e">
        <f aca="false">$F$545</f>
        <v>#VALUE!</v>
      </c>
      <c r="G799" s="223" t="e">
        <f aca="false">$G$545</f>
        <v>#VALUE!</v>
      </c>
      <c r="H799" s="252" t="e">
        <f aca="false">IF(G799="","",COUNTIF(G799:$G$806,"&gt;"&amp;G799))</f>
        <v>#VALUE!</v>
      </c>
      <c r="I799" s="92" t="e">
        <f aca="false">IF(G799="","",COUNTIF(G799:$G$806,"&lt;"&amp;G799))</f>
        <v>#VALUE!</v>
      </c>
      <c r="J799" s="61"/>
    </row>
    <row collapsed="false" customFormat="false" customHeight="true" hidden="false" ht="11.4" outlineLevel="0" r="800">
      <c r="B800" s="157"/>
      <c r="C800" s="157"/>
      <c r="D800" s="162" t="e">
        <f aca="false">$I$383</f>
        <v>#VALUE!</v>
      </c>
      <c r="E800" s="162" t="e">
        <f aca="false">$J$383</f>
        <v>#VALUE!</v>
      </c>
      <c r="F800" s="223" t="e">
        <f aca="false">$F$541</f>
        <v>#VALUE!</v>
      </c>
      <c r="G800" s="223" t="e">
        <f aca="false">$G$541</f>
        <v>#VALUE!</v>
      </c>
      <c r="H800" s="252" t="e">
        <f aca="false">IF(G800="","",COUNTIF(G800:$G$806,"&gt;"&amp;G800))</f>
        <v>#VALUE!</v>
      </c>
      <c r="I800" s="92" t="e">
        <f aca="false">IF(G800="","",COUNTIF(G800:$G$806,"&lt;"&amp;G800))</f>
        <v>#VALUE!</v>
      </c>
      <c r="J800" s="61"/>
    </row>
    <row collapsed="false" customFormat="false" customHeight="true" hidden="false" ht="11.4" outlineLevel="0" r="801">
      <c r="B801" s="157"/>
      <c r="C801" s="157"/>
      <c r="D801" s="47" t="e">
        <f aca="false">$I$384</f>
        <v>#VALUE!</v>
      </c>
      <c r="E801" s="47" t="e">
        <f aca="false">$J$384</f>
        <v>#VALUE!</v>
      </c>
      <c r="F801" s="223" t="e">
        <f aca="false">$F$542</f>
        <v>#VALUE!</v>
      </c>
      <c r="G801" s="223" t="e">
        <f aca="false">$G$542</f>
        <v>#VALUE!</v>
      </c>
      <c r="H801" s="252" t="e">
        <f aca="false">IF(G801="","",COUNTIF(G801:$G$806,"&gt;"&amp;G801))</f>
        <v>#VALUE!</v>
      </c>
      <c r="I801" s="92" t="e">
        <f aca="false">IF(G801="","",COUNTIF(G801:$G$806,"&lt;"&amp;G801))</f>
        <v>#VALUE!</v>
      </c>
      <c r="J801" s="61"/>
    </row>
    <row collapsed="false" customFormat="false" customHeight="true" hidden="false" ht="11.4" outlineLevel="0" r="802">
      <c r="B802" s="157"/>
      <c r="C802" s="157"/>
      <c r="D802" s="47" t="e">
        <f aca="false">$I$390</f>
        <v>#VALUE!</v>
      </c>
      <c r="E802" s="47" t="e">
        <f aca="false">$J$390</f>
        <v>#VALUE!</v>
      </c>
      <c r="F802" s="223" t="e">
        <f aca="false">$F$548</f>
        <v>#VALUE!</v>
      </c>
      <c r="G802" s="223" t="e">
        <f aca="false">$G$548</f>
        <v>#VALUE!</v>
      </c>
      <c r="H802" s="252" t="e">
        <f aca="false">IF(G802="","",COUNTIF(G802:$G$806,"&gt;"&amp;G802))</f>
        <v>#VALUE!</v>
      </c>
      <c r="I802" s="92" t="e">
        <f aca="false">IF(G802="","",COUNTIF(G802:$G$806,"&lt;"&amp;G802))</f>
        <v>#VALUE!</v>
      </c>
      <c r="J802" s="61"/>
    </row>
    <row collapsed="false" customFormat="false" customHeight="true" hidden="false" ht="11.4" outlineLevel="0" r="803">
      <c r="B803" s="157"/>
      <c r="C803" s="157"/>
      <c r="D803" s="162" t="e">
        <f aca="false">$I$391</f>
        <v>#VALUE!</v>
      </c>
      <c r="E803" s="162" t="e">
        <f aca="false">$J$391</f>
        <v>#VALUE!</v>
      </c>
      <c r="F803" s="223" t="e">
        <f aca="false">$F$549</f>
        <v>#VALUE!</v>
      </c>
      <c r="G803" s="223" t="e">
        <f aca="false">$G$549</f>
        <v>#VALUE!</v>
      </c>
      <c r="H803" s="252" t="e">
        <f aca="false">IF(G803="","",COUNTIF(G803:$G$806,"&gt;"&amp;G803))</f>
        <v>#VALUE!</v>
      </c>
      <c r="I803" s="92" t="e">
        <f aca="false">IF(G803="","",COUNTIF(G803:$G$806,"&lt;"&amp;G803))</f>
        <v>#VALUE!</v>
      </c>
      <c r="J803" s="61"/>
    </row>
    <row collapsed="false" customFormat="false" customHeight="true" hidden="false" ht="11.4" outlineLevel="0" r="804">
      <c r="B804" s="157"/>
      <c r="C804" s="157"/>
      <c r="D804" s="47" t="e">
        <f aca="false">$I$392</f>
        <v>#VALUE!</v>
      </c>
      <c r="E804" s="47" t="e">
        <f aca="false">$J$392</f>
        <v>#VALUE!</v>
      </c>
      <c r="F804" s="223" t="e">
        <f aca="false">$F$550</f>
        <v>#VALUE!</v>
      </c>
      <c r="G804" s="223" t="e">
        <f aca="false">$G$550</f>
        <v>#VALUE!</v>
      </c>
      <c r="H804" s="252" t="e">
        <f aca="false">IF(G804="","",COUNTIF(G804:$G$806,"&gt;"&amp;G804))</f>
        <v>#VALUE!</v>
      </c>
      <c r="I804" s="92" t="e">
        <f aca="false">IF(G804="","",COUNTIF(G804:$G$806,"&lt;"&amp;G804))</f>
        <v>#VALUE!</v>
      </c>
      <c r="J804" s="61"/>
    </row>
    <row collapsed="false" customFormat="false" customHeight="true" hidden="false" ht="11.4" outlineLevel="0" r="805">
      <c r="B805" s="157"/>
      <c r="C805" s="157"/>
      <c r="D805" s="55" t="e">
        <f aca="false">$I$395</f>
        <v>#VALUE!</v>
      </c>
      <c r="E805" s="47" t="e">
        <f aca="false">$J$395</f>
        <v>#VALUE!</v>
      </c>
      <c r="F805" s="223" t="e">
        <f aca="false">$F$553</f>
        <v>#VALUE!</v>
      </c>
      <c r="G805" s="223" t="e">
        <f aca="false">$G$553</f>
        <v>#VALUE!</v>
      </c>
      <c r="H805" s="252" t="e">
        <f aca="false">IF(G805="","",COUNTIF(G805:$G$806,"&gt;"&amp;G805))</f>
        <v>#VALUE!</v>
      </c>
      <c r="I805" s="92" t="e">
        <f aca="false">IF(G805="","",COUNTIF(G805:$G$806,"&lt;"&amp;G805))</f>
        <v>#VALUE!</v>
      </c>
      <c r="J805" s="61"/>
    </row>
    <row collapsed="false" customFormat="false" customHeight="true" hidden="false" ht="11.4" outlineLevel="0" r="806">
      <c r="B806" s="157"/>
      <c r="C806" s="157"/>
      <c r="D806" s="253"/>
      <c r="E806" s="162"/>
      <c r="F806" s="254"/>
      <c r="G806" s="255"/>
      <c r="H806" s="252" t="str">
        <f aca="false">IF(G806="","",COUNTIF(G806:$G$806,"&gt;"&amp;G806))</f>
        <v/>
      </c>
      <c r="I806" s="92" t="str">
        <f aca="false">IF(G806="","",COUNTIF(G806:$G$806,"&lt;"&amp;G806))</f>
        <v/>
      </c>
      <c r="J806" s="61"/>
    </row>
    <row collapsed="false" customFormat="false" customHeight="true" hidden="false" ht="11.4" outlineLevel="0" r="807">
      <c r="B807" s="61"/>
      <c r="C807" s="61"/>
      <c r="D807" s="61"/>
      <c r="E807" s="47" t="s">
        <v>131</v>
      </c>
      <c r="F807" s="162" t="e">
        <f aca="false">SUM(F791:F806)</f>
        <v>#VALUE!</v>
      </c>
      <c r="G807" s="162" t="e">
        <f aca="false">SUM(G791:G806)</f>
        <v>#VALUE!</v>
      </c>
      <c r="H807" s="162" t="e">
        <f aca="false">SUM(H791:H806)</f>
        <v>#VALUE!</v>
      </c>
      <c r="I807" s="162" t="e">
        <f aca="false">SUM(I791:I806)</f>
        <v>#VALUE!</v>
      </c>
      <c r="J807" s="2"/>
    </row>
    <row collapsed="false" customFormat="false" customHeight="true" hidden="false" ht="11.4" outlineLevel="0" r="808">
      <c r="B808" s="61"/>
      <c r="F808" s="61"/>
      <c r="H808" s="59"/>
      <c r="I808" s="61"/>
      <c r="J808" s="61"/>
    </row>
    <row collapsed="false" customFormat="false" customHeight="true" hidden="false" ht="11.4" outlineLevel="0" r="809">
      <c r="B809" s="61"/>
      <c r="C809" s="61"/>
      <c r="D809" s="61"/>
      <c r="E809" s="61"/>
      <c r="F809" s="61"/>
      <c r="I809" s="61"/>
      <c r="J809" s="61"/>
    </row>
    <row collapsed="false" customFormat="false" customHeight="true" hidden="false" ht="11.4" outlineLevel="0" r="810">
      <c r="B810" s="61"/>
      <c r="C810" s="61"/>
      <c r="D810" s="61"/>
      <c r="E810" s="61"/>
      <c r="F810" s="61"/>
    </row>
    <row collapsed="false" customFormat="false" customHeight="true" hidden="false" ht="11.4" outlineLevel="0" r="811">
      <c r="B811" s="2"/>
      <c r="C811" s="61"/>
      <c r="F811" s="256"/>
      <c r="G811" s="61" t="str">
        <f aca="false">I400</f>
        <v>n =</v>
      </c>
      <c r="H811" s="61" t="n">
        <f aca="false">J400</f>
        <v>0</v>
      </c>
    </row>
    <row collapsed="false" customFormat="false" customHeight="true" hidden="false" ht="11.4" outlineLevel="0" r="812">
      <c r="B812" s="2"/>
      <c r="C812" s="61"/>
      <c r="D812" s="257"/>
      <c r="E812" s="258"/>
      <c r="F812" s="61"/>
      <c r="G812" s="61"/>
    </row>
    <row collapsed="false" customFormat="false" customHeight="true" hidden="false" ht="11.4" outlineLevel="0" r="813">
      <c r="B813" s="61"/>
      <c r="D813" s="257"/>
      <c r="E813" s="258"/>
      <c r="F813" s="61"/>
      <c r="G813" s="0" t="s">
        <v>226</v>
      </c>
      <c r="H813" s="59" t="e">
        <f aca="false">H807-I807</f>
        <v>#VALUE!</v>
      </c>
    </row>
    <row collapsed="false" customFormat="false" customHeight="true" hidden="false" ht="11.4" outlineLevel="0" r="814">
      <c r="B814" s="2" t="s">
        <v>225</v>
      </c>
      <c r="C814" s="61"/>
      <c r="D814" s="257"/>
      <c r="E814" s="258"/>
      <c r="F814" s="61"/>
    </row>
    <row collapsed="false" customFormat="false" customHeight="true" hidden="false" ht="11.4" outlineLevel="0" r="815">
      <c r="D815" s="257"/>
      <c r="E815" s="258"/>
      <c r="F815" s="61"/>
      <c r="G815" s="0" t="s">
        <v>228</v>
      </c>
      <c r="H815" s="52" t="e">
        <f aca="false">2*H813/(H811*(H811-1))</f>
        <v>#VALUE!</v>
      </c>
    </row>
    <row collapsed="false" customFormat="false" customHeight="true" hidden="false" ht="11.4" outlineLevel="0" r="816">
      <c r="B816" s="2" t="s">
        <v>227</v>
      </c>
      <c r="C816" s="61"/>
      <c r="D816" s="257"/>
      <c r="E816" s="257"/>
      <c r="F816" s="61"/>
    </row>
    <row collapsed="false" customFormat="false" customHeight="true" hidden="false" ht="11.4" outlineLevel="0" r="817">
      <c r="B817" s="2" t="s">
        <v>230</v>
      </c>
      <c r="C817" s="61"/>
      <c r="D817" s="257"/>
      <c r="E817" s="259"/>
      <c r="F817" s="61"/>
      <c r="G817" s="0" t="s">
        <v>85</v>
      </c>
      <c r="H817" s="52" t="e">
        <f aca="false">ABS(H815)/SQRT(((2*(2*H811+5)))/(9*H811*(H811-1)))</f>
        <v>#VALUE!</v>
      </c>
    </row>
    <row collapsed="false" customFormat="false" customHeight="true" hidden="false" ht="12.8" outlineLevel="0" r="1048572"/>
    <row collapsed="false" customFormat="false" customHeight="true" hidden="false" ht="12.8" outlineLevel="0" r="1048573"/>
    <row collapsed="false" customFormat="false" customHeight="true" hidden="false" ht="12.8" outlineLevel="0" r="1048574"/>
    <row collapsed="false" customFormat="false" customHeight="true" hidden="false" ht="12.8" outlineLevel="0" r="1048575"/>
    <row collapsed="false" customFormat="false" customHeight="true" hidden="false" ht="12.8" outlineLevel="0" r="1048576"/>
  </sheetData>
  <mergeCells count="11">
    <mergeCell ref="F267:I267"/>
    <mergeCell ref="O267:R267"/>
    <mergeCell ref="F268:I268"/>
    <mergeCell ref="O268:S268"/>
    <mergeCell ref="F269:I269"/>
    <mergeCell ref="O269:S269"/>
    <mergeCell ref="F270:I270"/>
    <mergeCell ref="O270:S270"/>
    <mergeCell ref="P272:S272"/>
    <mergeCell ref="C321:F321"/>
    <mergeCell ref="C355:F355"/>
  </mergeCells>
  <conditionalFormatting sqref="D120:D132;D225;D228:D236;D239;D134;D162:D169;D171:D191;D160;D381:D409;D411:D447;D136">
    <cfRule aboveAverage="0" bottom="0" dxfId="0" equalAverage="0" operator="equal" percent="0" priority="2" rank="0" text="" type="cellIs">
      <formula>"X"</formula>
    </cfRule>
    <cfRule aboveAverage="0" bottom="0" dxfId="1" equalAverage="0" operator="notEqual" percent="0" priority="3" rank="0" text="" type="cellIs">
      <formula>""</formula>
    </cfRule>
  </conditionalFormatting>
  <conditionalFormatting sqref="D161;D410;F461:G527">
    <cfRule aboveAverage="0" bottom="0" dxfId="2" equalAverage="0" operator="notEqual" percent="0" priority="4" rank="0" text="" type="cellIs">
      <formula>"-"</formula>
    </cfRule>
  </conditionalFormatting>
  <conditionalFormatting sqref="E107:F118;E228;E120:E132;E225:E226;E230:E237;E239;E162:E191;E134;E160;E381:E409;E411:E447;E136">
    <cfRule aboveAverage="0" bottom="0" dxfId="3" equalAverage="0" operator="equal" percent="0" priority="5" rank="0" text="" type="cellIs">
      <formula>"X"</formula>
    </cfRule>
    <cfRule aboveAverage="0" bottom="0" dxfId="4" equalAverage="0" operator="notEqual" percent="0" priority="6" rank="0" text="" type="cellIs">
      <formula>""</formula>
    </cfRule>
  </conditionalFormatting>
  <conditionalFormatting sqref="E161;M267;E410">
    <cfRule aboveAverage="0" bottom="0" dxfId="5" equalAverage="0" operator="notEqual" percent="0" priority="7" rank="0" text="" type="cellIs">
      <formula>"-"</formula>
    </cfRule>
  </conditionalFormatting>
  <conditionalFormatting sqref="F540:G554">
    <cfRule aboveAverage="0" bottom="0" dxfId="6" equalAverage="0" operator="notEqual" percent="0" priority="8" rank="0" text="" type="cellIs">
      <formula>"-"</formula>
    </cfRule>
  </conditionalFormatting>
  <conditionalFormatting sqref="F792:G806">
    <cfRule aboveAverage="0" bottom="0" dxfId="7" equalAverage="0" operator="notEqual" percent="0" priority="9" rank="0" text="" type="cellIs">
      <formula>"-"</formula>
    </cfRule>
  </conditionalFormatting>
  <conditionalFormatting sqref="I413:I427">
    <cfRule aboveAverage="0" bottom="0" dxfId="8" equalAverage="0" operator="equal" percent="0" priority="10" rank="0" text="" type="cellIs">
      <formula>"X"</formula>
    </cfRule>
    <cfRule aboveAverage="0" bottom="0" dxfId="9" equalAverage="0" operator="notEqual" percent="0" priority="11" rank="0" text="" type="cellIs">
      <formula>""</formula>
    </cfRule>
  </conditionalFormatting>
  <conditionalFormatting sqref="J267;T267;L341:L342;O357:Q358;K340:K341;L324:L325">
    <cfRule aboveAverage="0" bottom="0" dxfId="10" equalAverage="0" operator="equal" percent="0" priority="12" rank="0" text="" type="cellIs">
      <formula>"T"</formula>
    </cfRule>
    <cfRule aboveAverage="0" bottom="0" dxfId="11" equalAverage="0" operator="equal" percent="0" priority="13" rank="0" text="" type="cellIs">
      <formula>"P"</formula>
    </cfRule>
    <cfRule aboveAverage="0" bottom="0" dxfId="12" equalAverage="0" operator="equal" percent="0" priority="14" rank="0" text="" type="cellIs">
      <formula>"PT"</formula>
    </cfRule>
  </conditionalFormatting>
  <conditionalFormatting sqref="J413:J427">
    <cfRule aboveAverage="0" bottom="0" dxfId="13" equalAverage="0" operator="equal" percent="0" priority="15" rank="0" text="" type="cellIs">
      <formula>"X"</formula>
    </cfRule>
    <cfRule aboveAverage="0" bottom="0" dxfId="14" equalAverage="0" operator="notEqual" percent="0" priority="16" rank="0" text="" type="cellIs">
      <formula>""</formula>
    </cfRule>
  </conditionalFormatting>
  <hyperlinks>
    <hyperlink display="http://www.excel4managers.de/index.php?page=rxysp" ref="C92" r:id="rId1"/>
  </hyperlinks>
  <printOptions headings="false" gridLines="false" gridLinesSet="true" horizontalCentered="false" verticalCentered="false"/>
  <pageMargins left="0.7875" right="0.7875" top="1.025" bottom="1.025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&amp;C&amp;A</oddHead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52468</TotalTime>
  <Application>LibreOffice/4.1.4.2$Windows_x86 LibreOffice_project/0a0440ccc0227ad9829de5f46be37cfb6edcf72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2009-04-16T11:32:48Z</dcterms:created>
  <dcterms:modified xsi:type="dcterms:W3CDTF">2014-01-30T21:14:26Z</dcterms:modified>
  <cp:revision>78</cp:revision>
</cp:coreProperties>
</file>